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65" windowWidth="15195" windowHeight="11640" tabRatio="610" activeTab="0"/>
  </bookViews>
  <sheets>
    <sheet name="Raporti vjetor i shpenz2010." sheetId="1" r:id="rId1"/>
    <sheet name="Grafikoni 1" sheetId="2" r:id="rId2"/>
    <sheet name="Grafikoni 2" sheetId="3" r:id="rId3"/>
    <sheet name="Tabela per grafikon" sheetId="4" r:id="rId4"/>
    <sheet name="Tabela 2 per grafikon" sheetId="5" r:id="rId5"/>
  </sheets>
  <definedNames>
    <definedName name="_xlnm._FilterDatabase" localSheetId="0" hidden="1">'Raporti vjetor i shpenz2010.'!$B$9:$I$237</definedName>
    <definedName name="_xlnm.Print_Area" localSheetId="0">'Raporti vjetor i shpenz2010.'!$B$1:$J$231</definedName>
    <definedName name="_xlnm.Print_Titles" localSheetId="0">'Raporti vjetor i shpenz2010.'!$7:$7</definedName>
  </definedNames>
  <calcPr fullCalcOnLoad="1"/>
</workbook>
</file>

<file path=xl/sharedStrings.xml><?xml version="1.0" encoding="utf-8"?>
<sst xmlns="http://schemas.openxmlformats.org/spreadsheetml/2006/main" count="1333" uniqueCount="133">
  <si>
    <t>Nr.</t>
  </si>
  <si>
    <t>Komunat</t>
  </si>
  <si>
    <t>Fushë Kosovë</t>
  </si>
  <si>
    <t>Podujevë</t>
  </si>
  <si>
    <t>Prishtinë</t>
  </si>
  <si>
    <t xml:space="preserve"> Shtime</t>
  </si>
  <si>
    <t>Dragash</t>
  </si>
  <si>
    <t>Rahovec</t>
  </si>
  <si>
    <t>Deçan</t>
  </si>
  <si>
    <t>Istog</t>
  </si>
  <si>
    <t>Leposaviq</t>
  </si>
  <si>
    <t>Skenderaj</t>
  </si>
  <si>
    <t>Vushtrri</t>
  </si>
  <si>
    <t>Zubin Potok</t>
  </si>
  <si>
    <t xml:space="preserve"> Gjilan</t>
  </si>
  <si>
    <t>Kaçanik</t>
  </si>
  <si>
    <t>Ferizaj</t>
  </si>
  <si>
    <t>Viti</t>
  </si>
  <si>
    <t>a</t>
  </si>
  <si>
    <t>b</t>
  </si>
  <si>
    <t>c</t>
  </si>
  <si>
    <t>d</t>
  </si>
  <si>
    <t>e</t>
  </si>
  <si>
    <t>Shtërpcë</t>
  </si>
  <si>
    <t>Kamenicë</t>
  </si>
  <si>
    <t>Mitrovicë</t>
  </si>
  <si>
    <t>Pejë</t>
  </si>
  <si>
    <t>Klinë</t>
  </si>
  <si>
    <t>Gjakovë</t>
  </si>
  <si>
    <t>Malishevë</t>
  </si>
  <si>
    <t>Suharekë</t>
  </si>
  <si>
    <t>Prizren</t>
  </si>
  <si>
    <t>Obiliq</t>
  </si>
  <si>
    <t>Lipjan</t>
  </si>
  <si>
    <t>Gllogovc</t>
  </si>
  <si>
    <t>Zveçan</t>
  </si>
  <si>
    <t>Novo Bërd</t>
  </si>
  <si>
    <t>GJITHSEJ BUXHETI I KOMUNAVE</t>
  </si>
  <si>
    <t>Juniku</t>
  </si>
  <si>
    <t>Mamusha</t>
  </si>
  <si>
    <t>Hani I Elezit</t>
  </si>
  <si>
    <t>Shpenzimet 2007</t>
  </si>
  <si>
    <t>Totali shpenzimeve</t>
  </si>
  <si>
    <t xml:space="preserve"> </t>
  </si>
  <si>
    <t>Rrogat dhe pagat</t>
  </si>
  <si>
    <t>Mallrat dhe shebimet</t>
  </si>
  <si>
    <t>Shpenzimet komunale</t>
  </si>
  <si>
    <t>Subvencione dhe transfere</t>
  </si>
  <si>
    <t>Shpenzimet kapitale(pasurit jo financ)</t>
  </si>
  <si>
    <t>Buxheti</t>
  </si>
  <si>
    <t>Te hyrat vetanake</t>
  </si>
  <si>
    <t>12qxw</t>
  </si>
  <si>
    <t xml:space="preserve">Shpenzimet </t>
  </si>
  <si>
    <r>
      <t xml:space="preserve">Totali I shpenzimeve </t>
    </r>
    <r>
      <rPr>
        <b/>
        <sz val="10"/>
        <rFont val="Arial"/>
        <family val="2"/>
      </rPr>
      <t>(4+5+6)</t>
    </r>
  </si>
  <si>
    <t>Buxheti I aprovuar 2009</t>
  </si>
  <si>
    <t>Te hyrat - 2008</t>
  </si>
  <si>
    <t>MINISTARSTVO ZA ADMINISTRACIJU LOKALNE SAMOUPRAVE</t>
  </si>
  <si>
    <t>ODELJENJE ZA REGIONALNI RAZVOJ I EVROPSKE INTEGRACIJE</t>
  </si>
  <si>
    <t xml:space="preserve">DATUM: februar 2011. </t>
  </si>
  <si>
    <t xml:space="preserve">PREGLED RASHODA BUDŽETA OPŠTINA TOKOM 2010. </t>
  </si>
  <si>
    <t>br.r.</t>
  </si>
  <si>
    <t xml:space="preserve">Opštine </t>
  </si>
  <si>
    <t>Usvojeni budžet za 2010.</t>
  </si>
  <si>
    <t>Rashodi</t>
  </si>
  <si>
    <t>Budžet</t>
  </si>
  <si>
    <t>Sopstveni prihodi</t>
  </si>
  <si>
    <t>Prihodi-2009</t>
  </si>
  <si>
    <r>
      <t xml:space="preserve">Ukupno rashoda  </t>
    </r>
    <r>
      <rPr>
        <b/>
        <sz val="10"/>
        <rFont val="Arial"/>
        <family val="2"/>
      </rPr>
      <t>(4+5+6)</t>
    </r>
  </si>
  <si>
    <r>
      <t xml:space="preserve">Pokazatelj realizacije </t>
    </r>
    <r>
      <rPr>
        <b/>
        <sz val="10"/>
        <rFont val="Arial"/>
        <family val="2"/>
      </rPr>
      <t>(7/3*100)</t>
    </r>
  </si>
  <si>
    <t>Glogovac</t>
  </si>
  <si>
    <t>Plate i dnevnice</t>
  </si>
  <si>
    <t>Roba i usluge</t>
  </si>
  <si>
    <t>Komunalni troškovi</t>
  </si>
  <si>
    <t>Subvencije i transferi</t>
  </si>
  <si>
    <t>Kapitalni troškovi (nefinansijska imovina)</t>
  </si>
  <si>
    <t>Lipljan</t>
  </si>
  <si>
    <t>UKUPAN BUDŽET OPŠTINA</t>
  </si>
  <si>
    <t>Ranilug</t>
  </si>
  <si>
    <t>Klokot</t>
  </si>
  <si>
    <t>Gračanica</t>
  </si>
  <si>
    <t>Đeneral Janković</t>
  </si>
  <si>
    <t>Mamuša</t>
  </si>
  <si>
    <t>Junik</t>
  </si>
  <si>
    <t xml:space="preserve">Vitina </t>
  </si>
  <si>
    <t>Uroševac</t>
  </si>
  <si>
    <t xml:space="preserve">Štrpce </t>
  </si>
  <si>
    <t xml:space="preserve">Novo Brdo </t>
  </si>
  <si>
    <t xml:space="preserve">Kamenica </t>
  </si>
  <si>
    <t>Kačanik</t>
  </si>
  <si>
    <t xml:space="preserve">Gnjilane </t>
  </si>
  <si>
    <t xml:space="preserve">Zvečan </t>
  </si>
  <si>
    <t>Vučitrn</t>
  </si>
  <si>
    <t xml:space="preserve">Srbica </t>
  </si>
  <si>
    <t xml:space="preserve">Mitrovica </t>
  </si>
  <si>
    <t>Leposavić</t>
  </si>
  <si>
    <t>Peć</t>
  </si>
  <si>
    <t xml:space="preserve">Klina </t>
  </si>
  <si>
    <t xml:space="preserve">Istok </t>
  </si>
  <si>
    <t xml:space="preserve">Đakovica </t>
  </si>
  <si>
    <t xml:space="preserve">Dečani </t>
  </si>
  <si>
    <t>Mališevo</t>
  </si>
  <si>
    <t xml:space="preserve">Suva Reka </t>
  </si>
  <si>
    <t>Orahovac</t>
  </si>
  <si>
    <t>Dragaš</t>
  </si>
  <si>
    <t xml:space="preserve">Štimlje </t>
  </si>
  <si>
    <t xml:space="preserve">Priština </t>
  </si>
  <si>
    <t>Podujevo</t>
  </si>
  <si>
    <t>Obilić</t>
  </si>
  <si>
    <t xml:space="preserve">Lipljan </t>
  </si>
  <si>
    <t>Kosovo Polje</t>
  </si>
  <si>
    <t>PREGLED RASHODA BUDŽETA OPŠTINA ZA PERIOD JANUAR-MART 2009.</t>
  </si>
  <si>
    <t>Br.r.</t>
  </si>
  <si>
    <t>Opštine</t>
  </si>
  <si>
    <t xml:space="preserve">Subvencije i transferi </t>
  </si>
  <si>
    <t>DATUM: avgust 2011.</t>
  </si>
  <si>
    <t>DATUM: februar 2011.</t>
  </si>
  <si>
    <t>PREGLED RASHODA BUDŽETA OPŠTINA ZA PERIOD JANUAR-MART 2009</t>
  </si>
  <si>
    <t>Priština</t>
  </si>
  <si>
    <t>Štimlje</t>
  </si>
  <si>
    <t>Suva Reka</t>
  </si>
  <si>
    <t>Dečani</t>
  </si>
  <si>
    <t>Đakovica</t>
  </si>
  <si>
    <t>Istok</t>
  </si>
  <si>
    <t>Klina</t>
  </si>
  <si>
    <t>Mitrovica</t>
  </si>
  <si>
    <t>Srbica</t>
  </si>
  <si>
    <t>Zvečan</t>
  </si>
  <si>
    <t>Gnjilane</t>
  </si>
  <si>
    <t>Kamenica</t>
  </si>
  <si>
    <t>Novo Brdo</t>
  </si>
  <si>
    <t>Štrpce</t>
  </si>
  <si>
    <t>Vitina</t>
  </si>
  <si>
    <t xml:space="preserve">Ranilug </t>
  </si>
</sst>
</file>

<file path=xl/styles.xml><?xml version="1.0" encoding="utf-8"?>
<styleSheet xmlns="http://schemas.openxmlformats.org/spreadsheetml/2006/main">
  <numFmts count="3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0.000"/>
    <numFmt numFmtId="184" formatCode="0.0"/>
    <numFmt numFmtId="185" formatCode="_(* #,##0.000_);_(* \(#,##0.000\);_(* &quot;-&quot;??_);_(@_)"/>
    <numFmt numFmtId="186" formatCode="_(* #,##0.0000_);_(* \(#,##0.0000\);_(* &quot;-&quot;??_);_(@_)"/>
  </numFmts>
  <fonts count="5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3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b/>
      <sz val="10"/>
      <color indexed="8"/>
      <name val="Arial"/>
      <family val="0"/>
    </font>
    <font>
      <i/>
      <sz val="11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171" fontId="4" fillId="0" borderId="10" xfId="42" applyFont="1" applyFill="1" applyBorder="1" applyAlignment="1">
      <alignment/>
    </xf>
    <xf numFmtId="171" fontId="0" fillId="0" borderId="10" xfId="42" applyFont="1" applyFill="1" applyBorder="1" applyAlignment="1">
      <alignment/>
    </xf>
    <xf numFmtId="171" fontId="5" fillId="0" borderId="10" xfId="42" applyFon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7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3" fillId="0" borderId="0" xfId="42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1" fontId="11" fillId="0" borderId="0" xfId="42" applyFont="1" applyFill="1" applyBorder="1" applyAlignment="1">
      <alignment/>
    </xf>
    <xf numFmtId="171" fontId="13" fillId="0" borderId="0" xfId="42" applyFont="1" applyFill="1" applyAlignment="1">
      <alignment/>
    </xf>
    <xf numFmtId="0" fontId="4" fillId="33" borderId="11" xfId="0" applyFont="1" applyFill="1" applyBorder="1" applyAlignment="1">
      <alignment/>
    </xf>
    <xf numFmtId="171" fontId="4" fillId="33" borderId="10" xfId="42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10" xfId="42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14" fillId="33" borderId="10" xfId="42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0" xfId="42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0" xfId="42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4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71" fontId="0" fillId="0" borderId="15" xfId="42" applyFont="1" applyFill="1" applyBorder="1" applyAlignment="1">
      <alignment/>
    </xf>
    <xf numFmtId="181" fontId="4" fillId="33" borderId="10" xfId="42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1" fontId="0" fillId="0" borderId="10" xfId="42" applyFont="1" applyFill="1" applyBorder="1" applyAlignment="1">
      <alignment/>
    </xf>
    <xf numFmtId="179" fontId="0" fillId="0" borderId="0" xfId="0" applyNumberFormat="1" applyFill="1" applyAlignment="1">
      <alignment/>
    </xf>
    <xf numFmtId="0" fontId="6" fillId="0" borderId="0" xfId="0" applyFont="1" applyFill="1" applyBorder="1" applyAlignment="1">
      <alignment/>
    </xf>
    <xf numFmtId="171" fontId="0" fillId="0" borderId="0" xfId="42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81" fontId="4" fillId="0" borderId="1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171" fontId="0" fillId="0" borderId="0" xfId="42" applyFont="1" applyFill="1" applyAlignment="1">
      <alignment/>
    </xf>
    <xf numFmtId="171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71" fontId="0" fillId="0" borderId="0" xfId="42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1" fontId="0" fillId="0" borderId="10" xfId="42" applyFont="1" applyFill="1" applyBorder="1" applyAlignment="1">
      <alignment/>
    </xf>
    <xf numFmtId="0" fontId="14" fillId="0" borderId="12" xfId="0" applyFont="1" applyFill="1" applyBorder="1" applyAlignment="1">
      <alignment/>
    </xf>
    <xf numFmtId="171" fontId="4" fillId="0" borderId="10" xfId="42" applyFont="1" applyFill="1" applyBorder="1" applyAlignment="1">
      <alignment/>
    </xf>
    <xf numFmtId="171" fontId="4" fillId="0" borderId="0" xfId="42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179" fontId="0" fillId="33" borderId="10" xfId="0" applyNumberFormat="1" applyFill="1" applyBorder="1" applyAlignment="1">
      <alignment/>
    </xf>
    <xf numFmtId="171" fontId="0" fillId="33" borderId="10" xfId="0" applyNumberFormat="1" applyFill="1" applyBorder="1" applyAlignment="1">
      <alignment/>
    </xf>
    <xf numFmtId="171" fontId="13" fillId="33" borderId="10" xfId="0" applyNumberFormat="1" applyFont="1" applyFill="1" applyBorder="1" applyAlignment="1">
      <alignment/>
    </xf>
    <xf numFmtId="171" fontId="4" fillId="33" borderId="10" xfId="42" applyNumberFormat="1" applyFont="1" applyFill="1" applyBorder="1" applyAlignment="1">
      <alignment/>
    </xf>
    <xf numFmtId="171" fontId="4" fillId="0" borderId="10" xfId="42" applyNumberFormat="1" applyFont="1" applyFill="1" applyBorder="1" applyAlignment="1">
      <alignment/>
    </xf>
    <xf numFmtId="171" fontId="4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Grafički prizak rashoda opština tokom 2010. godine</a:t>
            </a:r>
          </a:p>
        </c:rich>
      </c:tx>
      <c:layout>
        <c:manualLayout>
          <c:xMode val="factor"/>
          <c:yMode val="factor"/>
          <c:x val="-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275"/>
          <c:w val="0.97875"/>
          <c:h val="0.8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per grafikon'!$C$10:$C$202</c:f>
              <c:strCache>
                <c:ptCount val="33"/>
                <c:pt idx="0">
                  <c:v>Glogovac</c:v>
                </c:pt>
                <c:pt idx="1">
                  <c:v>Kosovo Polje</c:v>
                </c:pt>
                <c:pt idx="2">
                  <c:v>Lipljan</c:v>
                </c:pt>
                <c:pt idx="3">
                  <c:v>Obilić</c:v>
                </c:pt>
                <c:pt idx="4">
                  <c:v>Podujevo</c:v>
                </c:pt>
                <c:pt idx="5">
                  <c:v>Priština</c:v>
                </c:pt>
                <c:pt idx="6">
                  <c:v>Štimlje</c:v>
                </c:pt>
                <c:pt idx="7">
                  <c:v>Dragaš</c:v>
                </c:pt>
                <c:pt idx="8">
                  <c:v>Prizren</c:v>
                </c:pt>
                <c:pt idx="9">
                  <c:v>Orahovac</c:v>
                </c:pt>
                <c:pt idx="10">
                  <c:v>Suva Reka</c:v>
                </c:pt>
                <c:pt idx="11">
                  <c:v>Mališevo</c:v>
                </c:pt>
                <c:pt idx="12">
                  <c:v>Dečani</c:v>
                </c:pt>
                <c:pt idx="13">
                  <c:v>Đakovica</c:v>
                </c:pt>
                <c:pt idx="14">
                  <c:v>Istok</c:v>
                </c:pt>
                <c:pt idx="15">
                  <c:v>Klina</c:v>
                </c:pt>
                <c:pt idx="16">
                  <c:v>Peć</c:v>
                </c:pt>
                <c:pt idx="17">
                  <c:v>Leposavić</c:v>
                </c:pt>
                <c:pt idx="18">
                  <c:v>Mitrovica</c:v>
                </c:pt>
                <c:pt idx="19">
                  <c:v>Srbica</c:v>
                </c:pt>
                <c:pt idx="20">
                  <c:v>Vučitrn</c:v>
                </c:pt>
                <c:pt idx="21">
                  <c:v>Zubin Potok</c:v>
                </c:pt>
                <c:pt idx="22">
                  <c:v>Zvečan</c:v>
                </c:pt>
                <c:pt idx="23">
                  <c:v>Gnjilane</c:v>
                </c:pt>
                <c:pt idx="24">
                  <c:v>Kačanik</c:v>
                </c:pt>
                <c:pt idx="25">
                  <c:v>Kamenica</c:v>
                </c:pt>
                <c:pt idx="26">
                  <c:v>Novo Brdo</c:v>
                </c:pt>
                <c:pt idx="27">
                  <c:v>Štrpce</c:v>
                </c:pt>
                <c:pt idx="28">
                  <c:v>Uroševac</c:v>
                </c:pt>
                <c:pt idx="29">
                  <c:v>Vitina</c:v>
                </c:pt>
                <c:pt idx="30">
                  <c:v>Junik</c:v>
                </c:pt>
                <c:pt idx="31">
                  <c:v>Mamuša</c:v>
                </c:pt>
                <c:pt idx="32">
                  <c:v>Đeneral Janković</c:v>
                </c:pt>
              </c:strCache>
            </c:strRef>
          </c:cat>
          <c:val>
            <c:numRef>
              <c:f>'Tabela per grafikon'!$D$10:$D$202</c:f>
            </c:numRef>
          </c:val>
        </c:ser>
        <c:ser>
          <c:idx val="2"/>
          <c:order val="1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per grafikon'!$C$10:$C$202</c:f>
              <c:strCache>
                <c:ptCount val="33"/>
                <c:pt idx="0">
                  <c:v>Glogovac</c:v>
                </c:pt>
                <c:pt idx="1">
                  <c:v>Kosovo Polje</c:v>
                </c:pt>
                <c:pt idx="2">
                  <c:v>Lipljan</c:v>
                </c:pt>
                <c:pt idx="3">
                  <c:v>Obilić</c:v>
                </c:pt>
                <c:pt idx="4">
                  <c:v>Podujevo</c:v>
                </c:pt>
                <c:pt idx="5">
                  <c:v>Priština</c:v>
                </c:pt>
                <c:pt idx="6">
                  <c:v>Štimlje</c:v>
                </c:pt>
                <c:pt idx="7">
                  <c:v>Dragaš</c:v>
                </c:pt>
                <c:pt idx="8">
                  <c:v>Prizren</c:v>
                </c:pt>
                <c:pt idx="9">
                  <c:v>Orahovac</c:v>
                </c:pt>
                <c:pt idx="10">
                  <c:v>Suva Reka</c:v>
                </c:pt>
                <c:pt idx="11">
                  <c:v>Mališevo</c:v>
                </c:pt>
                <c:pt idx="12">
                  <c:v>Dečani</c:v>
                </c:pt>
                <c:pt idx="13">
                  <c:v>Đakovica</c:v>
                </c:pt>
                <c:pt idx="14">
                  <c:v>Istok</c:v>
                </c:pt>
                <c:pt idx="15">
                  <c:v>Klina</c:v>
                </c:pt>
                <c:pt idx="16">
                  <c:v>Peć</c:v>
                </c:pt>
                <c:pt idx="17">
                  <c:v>Leposavić</c:v>
                </c:pt>
                <c:pt idx="18">
                  <c:v>Mitrovica</c:v>
                </c:pt>
                <c:pt idx="19">
                  <c:v>Srbica</c:v>
                </c:pt>
                <c:pt idx="20">
                  <c:v>Vučitrn</c:v>
                </c:pt>
                <c:pt idx="21">
                  <c:v>Zubin Potok</c:v>
                </c:pt>
                <c:pt idx="22">
                  <c:v>Zvečan</c:v>
                </c:pt>
                <c:pt idx="23">
                  <c:v>Gnjilane</c:v>
                </c:pt>
                <c:pt idx="24">
                  <c:v>Kačanik</c:v>
                </c:pt>
                <c:pt idx="25">
                  <c:v>Kamenica</c:v>
                </c:pt>
                <c:pt idx="26">
                  <c:v>Novo Brdo</c:v>
                </c:pt>
                <c:pt idx="27">
                  <c:v>Štrpce</c:v>
                </c:pt>
                <c:pt idx="28">
                  <c:v>Uroševac</c:v>
                </c:pt>
                <c:pt idx="29">
                  <c:v>Vitina</c:v>
                </c:pt>
                <c:pt idx="30">
                  <c:v>Junik</c:v>
                </c:pt>
                <c:pt idx="31">
                  <c:v>Mamuša</c:v>
                </c:pt>
                <c:pt idx="32">
                  <c:v>Đeneral Janković</c:v>
                </c:pt>
              </c:strCache>
            </c:strRef>
          </c:cat>
          <c:val>
            <c:numRef>
              <c:f>'Tabela per grafikon'!$E$10:$E$202</c:f>
            </c:numRef>
          </c:val>
        </c:ser>
        <c:ser>
          <c:idx val="3"/>
          <c:order val="2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per grafikon'!$C$10:$C$202</c:f>
              <c:strCache>
                <c:ptCount val="33"/>
                <c:pt idx="0">
                  <c:v>Glogovac</c:v>
                </c:pt>
                <c:pt idx="1">
                  <c:v>Kosovo Polje</c:v>
                </c:pt>
                <c:pt idx="2">
                  <c:v>Lipljan</c:v>
                </c:pt>
                <c:pt idx="3">
                  <c:v>Obilić</c:v>
                </c:pt>
                <c:pt idx="4">
                  <c:v>Podujevo</c:v>
                </c:pt>
                <c:pt idx="5">
                  <c:v>Priština</c:v>
                </c:pt>
                <c:pt idx="6">
                  <c:v>Štimlje</c:v>
                </c:pt>
                <c:pt idx="7">
                  <c:v>Dragaš</c:v>
                </c:pt>
                <c:pt idx="8">
                  <c:v>Prizren</c:v>
                </c:pt>
                <c:pt idx="9">
                  <c:v>Orahovac</c:v>
                </c:pt>
                <c:pt idx="10">
                  <c:v>Suva Reka</c:v>
                </c:pt>
                <c:pt idx="11">
                  <c:v>Mališevo</c:v>
                </c:pt>
                <c:pt idx="12">
                  <c:v>Dečani</c:v>
                </c:pt>
                <c:pt idx="13">
                  <c:v>Đakovica</c:v>
                </c:pt>
                <c:pt idx="14">
                  <c:v>Istok</c:v>
                </c:pt>
                <c:pt idx="15">
                  <c:v>Klina</c:v>
                </c:pt>
                <c:pt idx="16">
                  <c:v>Peć</c:v>
                </c:pt>
                <c:pt idx="17">
                  <c:v>Leposavić</c:v>
                </c:pt>
                <c:pt idx="18">
                  <c:v>Mitrovica</c:v>
                </c:pt>
                <c:pt idx="19">
                  <c:v>Srbica</c:v>
                </c:pt>
                <c:pt idx="20">
                  <c:v>Vučitrn</c:v>
                </c:pt>
                <c:pt idx="21">
                  <c:v>Zubin Potok</c:v>
                </c:pt>
                <c:pt idx="22">
                  <c:v>Zvečan</c:v>
                </c:pt>
                <c:pt idx="23">
                  <c:v>Gnjilane</c:v>
                </c:pt>
                <c:pt idx="24">
                  <c:v>Kačanik</c:v>
                </c:pt>
                <c:pt idx="25">
                  <c:v>Kamenica</c:v>
                </c:pt>
                <c:pt idx="26">
                  <c:v>Novo Brdo</c:v>
                </c:pt>
                <c:pt idx="27">
                  <c:v>Štrpce</c:v>
                </c:pt>
                <c:pt idx="28">
                  <c:v>Uroševac</c:v>
                </c:pt>
                <c:pt idx="29">
                  <c:v>Vitina</c:v>
                </c:pt>
                <c:pt idx="30">
                  <c:v>Junik</c:v>
                </c:pt>
                <c:pt idx="31">
                  <c:v>Mamuša</c:v>
                </c:pt>
                <c:pt idx="32">
                  <c:v>Đeneral Janković</c:v>
                </c:pt>
              </c:strCache>
            </c:strRef>
          </c:cat>
          <c:val>
            <c:numRef>
              <c:f>'Tabela per grafikon'!$F$10:$F$202</c:f>
            </c:numRef>
          </c:val>
        </c:ser>
        <c:ser>
          <c:idx val="4"/>
          <c:order val="3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per grafikon'!$C$10:$C$202</c:f>
              <c:strCache>
                <c:ptCount val="33"/>
                <c:pt idx="0">
                  <c:v>Glogovac</c:v>
                </c:pt>
                <c:pt idx="1">
                  <c:v>Kosovo Polje</c:v>
                </c:pt>
                <c:pt idx="2">
                  <c:v>Lipljan</c:v>
                </c:pt>
                <c:pt idx="3">
                  <c:v>Obilić</c:v>
                </c:pt>
                <c:pt idx="4">
                  <c:v>Podujevo</c:v>
                </c:pt>
                <c:pt idx="5">
                  <c:v>Priština</c:v>
                </c:pt>
                <c:pt idx="6">
                  <c:v>Štimlje</c:v>
                </c:pt>
                <c:pt idx="7">
                  <c:v>Dragaš</c:v>
                </c:pt>
                <c:pt idx="8">
                  <c:v>Prizren</c:v>
                </c:pt>
                <c:pt idx="9">
                  <c:v>Orahovac</c:v>
                </c:pt>
                <c:pt idx="10">
                  <c:v>Suva Reka</c:v>
                </c:pt>
                <c:pt idx="11">
                  <c:v>Mališevo</c:v>
                </c:pt>
                <c:pt idx="12">
                  <c:v>Dečani</c:v>
                </c:pt>
                <c:pt idx="13">
                  <c:v>Đakovica</c:v>
                </c:pt>
                <c:pt idx="14">
                  <c:v>Istok</c:v>
                </c:pt>
                <c:pt idx="15">
                  <c:v>Klina</c:v>
                </c:pt>
                <c:pt idx="16">
                  <c:v>Peć</c:v>
                </c:pt>
                <c:pt idx="17">
                  <c:v>Leposavić</c:v>
                </c:pt>
                <c:pt idx="18">
                  <c:v>Mitrovica</c:v>
                </c:pt>
                <c:pt idx="19">
                  <c:v>Srbica</c:v>
                </c:pt>
                <c:pt idx="20">
                  <c:v>Vučitrn</c:v>
                </c:pt>
                <c:pt idx="21">
                  <c:v>Zubin Potok</c:v>
                </c:pt>
                <c:pt idx="22">
                  <c:v>Zvečan</c:v>
                </c:pt>
                <c:pt idx="23">
                  <c:v>Gnjilane</c:v>
                </c:pt>
                <c:pt idx="24">
                  <c:v>Kačanik</c:v>
                </c:pt>
                <c:pt idx="25">
                  <c:v>Kamenica</c:v>
                </c:pt>
                <c:pt idx="26">
                  <c:v>Novo Brdo</c:v>
                </c:pt>
                <c:pt idx="27">
                  <c:v>Štrpce</c:v>
                </c:pt>
                <c:pt idx="28">
                  <c:v>Uroševac</c:v>
                </c:pt>
                <c:pt idx="29">
                  <c:v>Vitina</c:v>
                </c:pt>
                <c:pt idx="30">
                  <c:v>Junik</c:v>
                </c:pt>
                <c:pt idx="31">
                  <c:v>Mamuša</c:v>
                </c:pt>
                <c:pt idx="32">
                  <c:v>Đeneral Janković</c:v>
                </c:pt>
              </c:strCache>
            </c:strRef>
          </c:cat>
          <c:val>
            <c:numRef>
              <c:f>'Tabela per grafikon'!$G$10:$G$202</c:f>
            </c:numRef>
          </c:val>
        </c:ser>
        <c:ser>
          <c:idx val="5"/>
          <c:order val="4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per grafikon'!$C$10:$C$202</c:f>
              <c:strCache>
                <c:ptCount val="33"/>
                <c:pt idx="0">
                  <c:v>Glogovac</c:v>
                </c:pt>
                <c:pt idx="1">
                  <c:v>Kosovo Polje</c:v>
                </c:pt>
                <c:pt idx="2">
                  <c:v>Lipljan</c:v>
                </c:pt>
                <c:pt idx="3">
                  <c:v>Obilić</c:v>
                </c:pt>
                <c:pt idx="4">
                  <c:v>Podujevo</c:v>
                </c:pt>
                <c:pt idx="5">
                  <c:v>Priština</c:v>
                </c:pt>
                <c:pt idx="6">
                  <c:v>Štimlje</c:v>
                </c:pt>
                <c:pt idx="7">
                  <c:v>Dragaš</c:v>
                </c:pt>
                <c:pt idx="8">
                  <c:v>Prizren</c:v>
                </c:pt>
                <c:pt idx="9">
                  <c:v>Orahovac</c:v>
                </c:pt>
                <c:pt idx="10">
                  <c:v>Suva Reka</c:v>
                </c:pt>
                <c:pt idx="11">
                  <c:v>Mališevo</c:v>
                </c:pt>
                <c:pt idx="12">
                  <c:v>Dečani</c:v>
                </c:pt>
                <c:pt idx="13">
                  <c:v>Đakovica</c:v>
                </c:pt>
                <c:pt idx="14">
                  <c:v>Istok</c:v>
                </c:pt>
                <c:pt idx="15">
                  <c:v>Klina</c:v>
                </c:pt>
                <c:pt idx="16">
                  <c:v>Peć</c:v>
                </c:pt>
                <c:pt idx="17">
                  <c:v>Leposavić</c:v>
                </c:pt>
                <c:pt idx="18">
                  <c:v>Mitrovica</c:v>
                </c:pt>
                <c:pt idx="19">
                  <c:v>Srbica</c:v>
                </c:pt>
                <c:pt idx="20">
                  <c:v>Vučitrn</c:v>
                </c:pt>
                <c:pt idx="21">
                  <c:v>Zubin Potok</c:v>
                </c:pt>
                <c:pt idx="22">
                  <c:v>Zvečan</c:v>
                </c:pt>
                <c:pt idx="23">
                  <c:v>Gnjilane</c:v>
                </c:pt>
                <c:pt idx="24">
                  <c:v>Kačanik</c:v>
                </c:pt>
                <c:pt idx="25">
                  <c:v>Kamenica</c:v>
                </c:pt>
                <c:pt idx="26">
                  <c:v>Novo Brdo</c:v>
                </c:pt>
                <c:pt idx="27">
                  <c:v>Štrpce</c:v>
                </c:pt>
                <c:pt idx="28">
                  <c:v>Uroševac</c:v>
                </c:pt>
                <c:pt idx="29">
                  <c:v>Vitina</c:v>
                </c:pt>
                <c:pt idx="30">
                  <c:v>Junik</c:v>
                </c:pt>
                <c:pt idx="31">
                  <c:v>Mamuša</c:v>
                </c:pt>
                <c:pt idx="32">
                  <c:v>Đeneral Janković</c:v>
                </c:pt>
              </c:strCache>
            </c:strRef>
          </c:cat>
          <c:val>
            <c:numRef>
              <c:f>'Tabela per grafikon'!$H$10:$H$202</c:f>
            </c:numRef>
          </c:val>
        </c:ser>
        <c:ser>
          <c:idx val="0"/>
          <c:order val="5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per grafikon'!$C$10:$C$202</c:f>
              <c:strCache>
                <c:ptCount val="33"/>
                <c:pt idx="0">
                  <c:v>Glogovac</c:v>
                </c:pt>
                <c:pt idx="1">
                  <c:v>Kosovo Polje</c:v>
                </c:pt>
                <c:pt idx="2">
                  <c:v>Lipljan</c:v>
                </c:pt>
                <c:pt idx="3">
                  <c:v>Obilić</c:v>
                </c:pt>
                <c:pt idx="4">
                  <c:v>Podujevo</c:v>
                </c:pt>
                <c:pt idx="5">
                  <c:v>Priština</c:v>
                </c:pt>
                <c:pt idx="6">
                  <c:v>Štimlje</c:v>
                </c:pt>
                <c:pt idx="7">
                  <c:v>Dragaš</c:v>
                </c:pt>
                <c:pt idx="8">
                  <c:v>Prizren</c:v>
                </c:pt>
                <c:pt idx="9">
                  <c:v>Orahovac</c:v>
                </c:pt>
                <c:pt idx="10">
                  <c:v>Suva Reka</c:v>
                </c:pt>
                <c:pt idx="11">
                  <c:v>Mališevo</c:v>
                </c:pt>
                <c:pt idx="12">
                  <c:v>Dečani</c:v>
                </c:pt>
                <c:pt idx="13">
                  <c:v>Đakovica</c:v>
                </c:pt>
                <c:pt idx="14">
                  <c:v>Istok</c:v>
                </c:pt>
                <c:pt idx="15">
                  <c:v>Klina</c:v>
                </c:pt>
                <c:pt idx="16">
                  <c:v>Peć</c:v>
                </c:pt>
                <c:pt idx="17">
                  <c:v>Leposavić</c:v>
                </c:pt>
                <c:pt idx="18">
                  <c:v>Mitrovica</c:v>
                </c:pt>
                <c:pt idx="19">
                  <c:v>Srbica</c:v>
                </c:pt>
                <c:pt idx="20">
                  <c:v>Vučitrn</c:v>
                </c:pt>
                <c:pt idx="21">
                  <c:v>Zubin Potok</c:v>
                </c:pt>
                <c:pt idx="22">
                  <c:v>Zvečan</c:v>
                </c:pt>
                <c:pt idx="23">
                  <c:v>Gnjilane</c:v>
                </c:pt>
                <c:pt idx="24">
                  <c:v>Kačanik</c:v>
                </c:pt>
                <c:pt idx="25">
                  <c:v>Kamenica</c:v>
                </c:pt>
                <c:pt idx="26">
                  <c:v>Novo Brdo</c:v>
                </c:pt>
                <c:pt idx="27">
                  <c:v>Štrpce</c:v>
                </c:pt>
                <c:pt idx="28">
                  <c:v>Uroševac</c:v>
                </c:pt>
                <c:pt idx="29">
                  <c:v>Vitina</c:v>
                </c:pt>
                <c:pt idx="30">
                  <c:v>Junik</c:v>
                </c:pt>
                <c:pt idx="31">
                  <c:v>Mamuša</c:v>
                </c:pt>
                <c:pt idx="32">
                  <c:v>Đeneral Janković</c:v>
                </c:pt>
              </c:strCache>
            </c:strRef>
          </c:cat>
          <c:val>
            <c:numRef>
              <c:f>'Tabela per grafikon'!$I$10:$I$202</c:f>
              <c:numCache>
                <c:ptCount val="33"/>
                <c:pt idx="0">
                  <c:v>98</c:v>
                </c:pt>
                <c:pt idx="1">
                  <c:v>96</c:v>
                </c:pt>
                <c:pt idx="2">
                  <c:v>93</c:v>
                </c:pt>
                <c:pt idx="3">
                  <c:v>94</c:v>
                </c:pt>
                <c:pt idx="4">
                  <c:v>96</c:v>
                </c:pt>
                <c:pt idx="5">
                  <c:v>74</c:v>
                </c:pt>
                <c:pt idx="6">
                  <c:v>95</c:v>
                </c:pt>
                <c:pt idx="7">
                  <c:v>97</c:v>
                </c:pt>
                <c:pt idx="8">
                  <c:v>90</c:v>
                </c:pt>
                <c:pt idx="9">
                  <c:v>91</c:v>
                </c:pt>
                <c:pt idx="10">
                  <c:v>92</c:v>
                </c:pt>
                <c:pt idx="11">
                  <c:v>96</c:v>
                </c:pt>
                <c:pt idx="12">
                  <c:v>94</c:v>
                </c:pt>
                <c:pt idx="13">
                  <c:v>96</c:v>
                </c:pt>
                <c:pt idx="14">
                  <c:v>96</c:v>
                </c:pt>
                <c:pt idx="15">
                  <c:v>95</c:v>
                </c:pt>
                <c:pt idx="16">
                  <c:v>92</c:v>
                </c:pt>
                <c:pt idx="17">
                  <c:v>84</c:v>
                </c:pt>
                <c:pt idx="18">
                  <c:v>98</c:v>
                </c:pt>
                <c:pt idx="19">
                  <c:v>98</c:v>
                </c:pt>
                <c:pt idx="20">
                  <c:v>93</c:v>
                </c:pt>
                <c:pt idx="21">
                  <c:v>93</c:v>
                </c:pt>
                <c:pt idx="22">
                  <c:v>87</c:v>
                </c:pt>
                <c:pt idx="23">
                  <c:v>97</c:v>
                </c:pt>
                <c:pt idx="24">
                  <c:v>94</c:v>
                </c:pt>
                <c:pt idx="25">
                  <c:v>94</c:v>
                </c:pt>
                <c:pt idx="26">
                  <c:v>96</c:v>
                </c:pt>
                <c:pt idx="27">
                  <c:v>97</c:v>
                </c:pt>
                <c:pt idx="28">
                  <c:v>93</c:v>
                </c:pt>
                <c:pt idx="29">
                  <c:v>99</c:v>
                </c:pt>
                <c:pt idx="30">
                  <c:v>97</c:v>
                </c:pt>
                <c:pt idx="31">
                  <c:v>88</c:v>
                </c:pt>
                <c:pt idx="32">
                  <c:v>97</c:v>
                </c:pt>
              </c:numCache>
            </c:numRef>
          </c:val>
        </c:ser>
        <c:axId val="12345928"/>
        <c:axId val="44004489"/>
      </c:bar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4489"/>
        <c:crosses val="autoZero"/>
        <c:auto val="1"/>
        <c:lblOffset val="100"/>
        <c:tickLblSkip val="1"/>
        <c:noMultiLvlLbl val="0"/>
      </c:catAx>
      <c:valAx>
        <c:axId val="44004489"/>
        <c:scaling>
          <c:orientation val="minMax"/>
        </c:scaling>
        <c:axPos val="l"/>
        <c:delete val="1"/>
        <c:majorTickMark val="out"/>
        <c:minorTickMark val="none"/>
        <c:tickLblPos val="nextTo"/>
        <c:crossAx val="12345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Grafički prizak rashoda opština prema ekonomskim kategorijama tokom 2010.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500"/>
      <c:rAngAx val="1"/>
    </c:view3D>
    <c:plotArea>
      <c:layout>
        <c:manualLayout>
          <c:xMode val="edge"/>
          <c:yMode val="edge"/>
          <c:x val="0.011"/>
          <c:y val="0.13775"/>
          <c:w val="0.97775"/>
          <c:h val="0.84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2 per grafikon'!$C$210:$C$214</c:f>
              <c:strCache>
                <c:ptCount val="5"/>
                <c:pt idx="0">
                  <c:v>Plate i dnevnice</c:v>
                </c:pt>
                <c:pt idx="1">
                  <c:v>Roba i usluge</c:v>
                </c:pt>
                <c:pt idx="2">
                  <c:v>Komunalni troškovi</c:v>
                </c:pt>
                <c:pt idx="3">
                  <c:v>Subvencije i transferi </c:v>
                </c:pt>
                <c:pt idx="4">
                  <c:v>Kapitalni troškovi (nefinansijska imovina)</c:v>
                </c:pt>
              </c:strCache>
            </c:strRef>
          </c:cat>
          <c:val>
            <c:numRef>
              <c:f>'Tabela 2 per grafikon'!$D$210:$D$214</c:f>
            </c:numRef>
          </c:val>
          <c:shape val="box"/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2 per grafikon'!$C$210:$C$214</c:f>
              <c:strCache>
                <c:ptCount val="5"/>
                <c:pt idx="0">
                  <c:v>Plate i dnevnice</c:v>
                </c:pt>
                <c:pt idx="1">
                  <c:v>Roba i usluge</c:v>
                </c:pt>
                <c:pt idx="2">
                  <c:v>Komunalni troškovi</c:v>
                </c:pt>
                <c:pt idx="3">
                  <c:v>Subvencije i transferi </c:v>
                </c:pt>
                <c:pt idx="4">
                  <c:v>Kapitalni troškovi (nefinansijska imovina)</c:v>
                </c:pt>
              </c:strCache>
            </c:strRef>
          </c:cat>
          <c:val>
            <c:numRef>
              <c:f>'Tabela 2 per grafikon'!$E$210:$E$214</c:f>
            </c:numRef>
          </c:val>
          <c:shape val="box"/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2 per grafikon'!$C$210:$C$214</c:f>
              <c:strCache>
                <c:ptCount val="5"/>
                <c:pt idx="0">
                  <c:v>Plate i dnevnice</c:v>
                </c:pt>
                <c:pt idx="1">
                  <c:v>Roba i usluge</c:v>
                </c:pt>
                <c:pt idx="2">
                  <c:v>Komunalni troškovi</c:v>
                </c:pt>
                <c:pt idx="3">
                  <c:v>Subvencije i transferi </c:v>
                </c:pt>
                <c:pt idx="4">
                  <c:v>Kapitalni troškovi (nefinansijska imovina)</c:v>
                </c:pt>
              </c:strCache>
            </c:strRef>
          </c:cat>
          <c:val>
            <c:numRef>
              <c:f>'Tabela 2 per grafikon'!$F$210:$F$214</c:f>
            </c:numRef>
          </c:val>
          <c:shape val="box"/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2 per grafikon'!$C$210:$C$214</c:f>
              <c:strCache>
                <c:ptCount val="5"/>
                <c:pt idx="0">
                  <c:v>Plate i dnevnice</c:v>
                </c:pt>
                <c:pt idx="1">
                  <c:v>Roba i usluge</c:v>
                </c:pt>
                <c:pt idx="2">
                  <c:v>Komunalni troškovi</c:v>
                </c:pt>
                <c:pt idx="3">
                  <c:v>Subvencije i transferi </c:v>
                </c:pt>
                <c:pt idx="4">
                  <c:v>Kapitalni troškovi (nefinansijska imovina)</c:v>
                </c:pt>
              </c:strCache>
            </c:strRef>
          </c:cat>
          <c:val>
            <c:numRef>
              <c:f>'Tabela 2 per grafikon'!$G$210:$G$214</c:f>
            </c:numRef>
          </c:val>
          <c:shape val="box"/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2 per grafikon'!$C$210:$C$214</c:f>
              <c:strCache>
                <c:ptCount val="5"/>
                <c:pt idx="0">
                  <c:v>Plate i dnevnice</c:v>
                </c:pt>
                <c:pt idx="1">
                  <c:v>Roba i usluge</c:v>
                </c:pt>
                <c:pt idx="2">
                  <c:v>Komunalni troškovi</c:v>
                </c:pt>
                <c:pt idx="3">
                  <c:v>Subvencije i transferi </c:v>
                </c:pt>
                <c:pt idx="4">
                  <c:v>Kapitalni troškovi (nefinansijska imovina)</c:v>
                </c:pt>
              </c:strCache>
            </c:strRef>
          </c:cat>
          <c:val>
            <c:numRef>
              <c:f>'Tabela 2 per grafikon'!$H$210:$H$214</c:f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2 per grafikon'!$C$210:$C$214</c:f>
              <c:strCache>
                <c:ptCount val="5"/>
                <c:pt idx="0">
                  <c:v>Plate i dnevnice</c:v>
                </c:pt>
                <c:pt idx="1">
                  <c:v>Roba i usluge</c:v>
                </c:pt>
                <c:pt idx="2">
                  <c:v>Komunalni troškovi</c:v>
                </c:pt>
                <c:pt idx="3">
                  <c:v>Subvencije i transferi </c:v>
                </c:pt>
                <c:pt idx="4">
                  <c:v>Kapitalni troškovi (nefinansijska imovina)</c:v>
                </c:pt>
              </c:strCache>
            </c:strRef>
          </c:cat>
          <c:val>
            <c:numRef>
              <c:f>'Tabela 2 per grafikon'!$I$210:$I$214</c:f>
              <c:numCache>
                <c:ptCount val="5"/>
                <c:pt idx="0">
                  <c:v>98</c:v>
                </c:pt>
                <c:pt idx="1">
                  <c:v>93</c:v>
                </c:pt>
                <c:pt idx="2">
                  <c:v>96</c:v>
                </c:pt>
                <c:pt idx="3">
                  <c:v>96</c:v>
                </c:pt>
                <c:pt idx="4">
                  <c:v>80</c:v>
                </c:pt>
              </c:numCache>
            </c:numRef>
          </c:val>
          <c:shape val="box"/>
        </c:ser>
        <c:gapDepth val="0"/>
        <c:shape val="box"/>
        <c:axId val="60496082"/>
        <c:axId val="7593827"/>
      </c:bar3D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7593827"/>
        <c:crosses val="autoZero"/>
        <c:auto val="1"/>
        <c:lblOffset val="100"/>
        <c:tickLblSkip val="1"/>
        <c:noMultiLvlLbl val="0"/>
      </c:catAx>
      <c:valAx>
        <c:axId val="7593827"/>
        <c:scaling>
          <c:orientation val="minMax"/>
        </c:scaling>
        <c:axPos val="l"/>
        <c:delete val="1"/>
        <c:majorTickMark val="out"/>
        <c:minorTickMark val="none"/>
        <c:tickLblPos val="nextTo"/>
        <c:crossAx val="60496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1"/>
  <sheetViews>
    <sheetView tabSelected="1" zoomScalePageLayoutView="0" workbookViewId="0" topLeftCell="B1">
      <pane ySplit="9" topLeftCell="A220" activePane="bottomLeft" state="frozen"/>
      <selection pane="topLeft" activeCell="B1" sqref="B1"/>
      <selection pane="bottomLeft" activeCell="B5" sqref="B5:J5"/>
    </sheetView>
  </sheetViews>
  <sheetFormatPr defaultColWidth="9.140625" defaultRowHeight="12.75"/>
  <cols>
    <col min="1" max="1" width="2.00390625" style="1" hidden="1" customWidth="1"/>
    <col min="2" max="2" width="6.140625" style="1" customWidth="1"/>
    <col min="3" max="3" width="40.421875" style="1" bestFit="1" customWidth="1"/>
    <col min="4" max="4" width="15.140625" style="1" customWidth="1"/>
    <col min="5" max="5" width="14.57421875" style="1" customWidth="1"/>
    <col min="6" max="6" width="13.8515625" style="1" customWidth="1"/>
    <col min="7" max="7" width="13.57421875" style="1" customWidth="1"/>
    <col min="8" max="8" width="15.28125" style="1" customWidth="1"/>
    <col min="9" max="9" width="12.8515625" style="1" customWidth="1"/>
    <col min="10" max="10" width="15.57421875" style="1" hidden="1" customWidth="1"/>
    <col min="11" max="11" width="21.140625" style="1" bestFit="1" customWidth="1"/>
    <col min="12" max="12" width="26.421875" style="1" customWidth="1"/>
    <col min="13" max="13" width="18.28125" style="1" bestFit="1" customWidth="1"/>
    <col min="14" max="16384" width="9.140625" style="1" customWidth="1"/>
  </cols>
  <sheetData>
    <row r="1" spans="3:8" ht="27" customHeight="1">
      <c r="C1" s="93" t="s">
        <v>56</v>
      </c>
      <c r="D1" s="93"/>
      <c r="E1" s="93"/>
      <c r="F1" s="55"/>
      <c r="G1" s="50"/>
      <c r="H1" s="11"/>
    </row>
    <row r="2" spans="3:9" ht="12" customHeight="1">
      <c r="C2" s="93" t="s">
        <v>57</v>
      </c>
      <c r="D2" s="93"/>
      <c r="E2" s="93"/>
      <c r="F2" s="56"/>
      <c r="G2" s="51"/>
      <c r="H2" s="57"/>
      <c r="I2" s="58"/>
    </row>
    <row r="3" spans="3:13" ht="12.75" customHeight="1">
      <c r="C3" s="59" t="s">
        <v>58</v>
      </c>
      <c r="D3" s="59"/>
      <c r="E3" s="60"/>
      <c r="G3" s="61"/>
      <c r="H3" s="62"/>
      <c r="I3" s="63"/>
      <c r="J3" s="63"/>
      <c r="K3" s="63"/>
      <c r="L3" s="63"/>
      <c r="M3" s="63"/>
    </row>
    <row r="4" spans="2:10" ht="13.5" thickBot="1">
      <c r="B4" s="64"/>
      <c r="C4" s="64"/>
      <c r="D4" s="64"/>
      <c r="E4" s="64"/>
      <c r="F4" s="65"/>
      <c r="G4" s="64"/>
      <c r="H4" s="64"/>
      <c r="I4" s="64"/>
      <c r="J4" s="64"/>
    </row>
    <row r="5" spans="2:21" ht="40.5" customHeight="1">
      <c r="B5" s="94" t="s">
        <v>59</v>
      </c>
      <c r="C5" s="95"/>
      <c r="D5" s="95"/>
      <c r="E5" s="95"/>
      <c r="F5" s="95"/>
      <c r="G5" s="95"/>
      <c r="H5" s="95"/>
      <c r="I5" s="95"/>
      <c r="J5" s="96"/>
      <c r="U5" s="1" t="s">
        <v>51</v>
      </c>
    </row>
    <row r="6" spans="2:10" ht="23.25" customHeight="1">
      <c r="B6" s="92" t="s">
        <v>60</v>
      </c>
      <c r="C6" s="97" t="s">
        <v>61</v>
      </c>
      <c r="D6" s="92" t="s">
        <v>62</v>
      </c>
      <c r="E6" s="98" t="s">
        <v>63</v>
      </c>
      <c r="F6" s="98"/>
      <c r="G6" s="98"/>
      <c r="H6" s="92" t="s">
        <v>67</v>
      </c>
      <c r="I6" s="92" t="s">
        <v>68</v>
      </c>
      <c r="J6" s="92" t="s">
        <v>1</v>
      </c>
    </row>
    <row r="7" spans="2:11" ht="39.75" customHeight="1">
      <c r="B7" s="92"/>
      <c r="C7" s="97"/>
      <c r="D7" s="92"/>
      <c r="E7" s="66" t="s">
        <v>64</v>
      </c>
      <c r="F7" s="66" t="s">
        <v>65</v>
      </c>
      <c r="G7" s="66" t="s">
        <v>66</v>
      </c>
      <c r="H7" s="92"/>
      <c r="I7" s="92"/>
      <c r="J7" s="92"/>
      <c r="K7" s="14"/>
    </row>
    <row r="8" spans="2:11" ht="85.5" customHeight="1" hidden="1">
      <c r="B8" s="32" t="s">
        <v>0</v>
      </c>
      <c r="C8" s="67" t="s">
        <v>1</v>
      </c>
      <c r="D8" s="68"/>
      <c r="E8" s="68" t="s">
        <v>41</v>
      </c>
      <c r="F8" s="68" t="s">
        <v>41</v>
      </c>
      <c r="G8" s="68" t="s">
        <v>41</v>
      </c>
      <c r="H8" s="68" t="s">
        <v>42</v>
      </c>
      <c r="I8" s="68"/>
      <c r="J8" s="69"/>
      <c r="K8" s="14"/>
    </row>
    <row r="9" spans="2:11" ht="14.25" customHeight="1">
      <c r="B9" s="70">
        <v>1</v>
      </c>
      <c r="C9" s="71">
        <v>2</v>
      </c>
      <c r="D9" s="71">
        <v>3</v>
      </c>
      <c r="E9" s="71">
        <v>4</v>
      </c>
      <c r="F9" s="70">
        <v>5</v>
      </c>
      <c r="G9" s="71">
        <v>6</v>
      </c>
      <c r="H9" s="70">
        <v>7</v>
      </c>
      <c r="I9" s="71">
        <v>8</v>
      </c>
      <c r="J9" s="70">
        <v>9</v>
      </c>
      <c r="K9" s="14"/>
    </row>
    <row r="10" spans="2:11" s="8" customFormat="1" ht="18">
      <c r="B10" s="19">
        <v>1</v>
      </c>
      <c r="C10" s="78" t="s">
        <v>69</v>
      </c>
      <c r="D10" s="20">
        <f>D11+D12+D13+D14+D15</f>
        <v>8047998.35</v>
      </c>
      <c r="E10" s="20">
        <f>E11+E12+E13+E14+E15</f>
        <v>7108307.350000001</v>
      </c>
      <c r="F10" s="20">
        <f>F11+F12+F14+F15</f>
        <v>572293.8</v>
      </c>
      <c r="G10" s="20">
        <f>G11+G12+G13+G14+G15</f>
        <v>178465.37</v>
      </c>
      <c r="H10" s="20">
        <f aca="true" t="shared" si="0" ref="H10:H73">E10+F10+G10</f>
        <v>7859066.5200000005</v>
      </c>
      <c r="I10" s="88">
        <f>H10/D10*100</f>
        <v>97.65243701870293</v>
      </c>
      <c r="J10" s="72" t="s">
        <v>34</v>
      </c>
      <c r="K10" s="14"/>
    </row>
    <row r="11" spans="2:11" ht="18">
      <c r="B11" s="21" t="s">
        <v>18</v>
      </c>
      <c r="C11" s="40" t="s">
        <v>70</v>
      </c>
      <c r="D11" s="23">
        <f>4473550+125526+5995.6</f>
        <v>4605071.6</v>
      </c>
      <c r="E11" s="23">
        <v>4468643.13</v>
      </c>
      <c r="F11" s="23">
        <v>82107.04</v>
      </c>
      <c r="G11" s="23">
        <v>5994.99</v>
      </c>
      <c r="H11" s="2">
        <f t="shared" si="0"/>
        <v>4556745.16</v>
      </c>
      <c r="I11" s="89">
        <f aca="true" t="shared" si="1" ref="I11:I74">H11/D11*100</f>
        <v>98.95058222330356</v>
      </c>
      <c r="J11" s="24"/>
      <c r="K11" s="14"/>
    </row>
    <row r="12" spans="2:11" ht="18">
      <c r="B12" s="21" t="s">
        <v>19</v>
      </c>
      <c r="C12" s="40" t="s">
        <v>71</v>
      </c>
      <c r="D12" s="23">
        <f>684926+51613+20912.37</f>
        <v>757451.37</v>
      </c>
      <c r="E12" s="44">
        <v>681509.99</v>
      </c>
      <c r="F12" s="23">
        <v>30563.04</v>
      </c>
      <c r="G12" s="23">
        <v>20912.37</v>
      </c>
      <c r="H12" s="2">
        <f t="shared" si="0"/>
        <v>732985.4</v>
      </c>
      <c r="I12" s="89">
        <f t="shared" si="1"/>
        <v>96.76996161482948</v>
      </c>
      <c r="J12" s="24"/>
      <c r="K12" s="14"/>
    </row>
    <row r="13" spans="2:11" ht="18">
      <c r="B13" s="21" t="s">
        <v>20</v>
      </c>
      <c r="C13" s="40" t="s">
        <v>72</v>
      </c>
      <c r="D13" s="23">
        <v>149995</v>
      </c>
      <c r="E13" s="23">
        <v>149925.48</v>
      </c>
      <c r="F13" s="23"/>
      <c r="G13" s="23"/>
      <c r="H13" s="2">
        <f t="shared" si="0"/>
        <v>149925.48</v>
      </c>
      <c r="I13" s="89">
        <f t="shared" si="1"/>
        <v>99.95365178839295</v>
      </c>
      <c r="J13" s="24"/>
      <c r="K13" s="15"/>
    </row>
    <row r="14" spans="2:11" ht="18">
      <c r="B14" s="21" t="s">
        <v>21</v>
      </c>
      <c r="C14" s="40" t="s">
        <v>73</v>
      </c>
      <c r="D14" s="23">
        <f>20000+69700+10000</f>
        <v>99700</v>
      </c>
      <c r="E14" s="23">
        <v>20000</v>
      </c>
      <c r="F14" s="23">
        <v>67322.83</v>
      </c>
      <c r="G14" s="23">
        <v>10000</v>
      </c>
      <c r="H14" s="2">
        <f t="shared" si="0"/>
        <v>97322.83</v>
      </c>
      <c r="I14" s="89">
        <f t="shared" si="1"/>
        <v>97.61567703109328</v>
      </c>
      <c r="J14" s="24"/>
      <c r="K14" s="14"/>
    </row>
    <row r="15" spans="2:11" ht="18">
      <c r="B15" s="21" t="s">
        <v>22</v>
      </c>
      <c r="C15" s="80" t="s">
        <v>74</v>
      </c>
      <c r="D15" s="23">
        <f>1792545+501428+141807.38</f>
        <v>2435780.38</v>
      </c>
      <c r="E15" s="23">
        <v>1788228.75</v>
      </c>
      <c r="F15" s="23">
        <v>392300.89</v>
      </c>
      <c r="G15" s="23">
        <v>141558.01</v>
      </c>
      <c r="H15" s="2">
        <f t="shared" si="0"/>
        <v>2322087.6500000004</v>
      </c>
      <c r="I15" s="89">
        <f t="shared" si="1"/>
        <v>95.33238994231493</v>
      </c>
      <c r="J15" s="24"/>
      <c r="K15" s="15"/>
    </row>
    <row r="16" spans="2:11" s="8" customFormat="1" ht="18">
      <c r="B16" s="19">
        <v>2</v>
      </c>
      <c r="C16" s="78" t="s">
        <v>109</v>
      </c>
      <c r="D16" s="20">
        <f>D17+D18+D19+D20+D21</f>
        <v>5862738.51</v>
      </c>
      <c r="E16" s="20">
        <f>E17+E18+E19+E20+E21</f>
        <v>4213157.02</v>
      </c>
      <c r="F16" s="20">
        <f>F17+F18+F19+F20+F21</f>
        <v>991254</v>
      </c>
      <c r="G16" s="20">
        <f>G17+G18+G19+G21</f>
        <v>434570.29999999993</v>
      </c>
      <c r="H16" s="20">
        <f t="shared" si="0"/>
        <v>5638981.319999999</v>
      </c>
      <c r="I16" s="88">
        <f t="shared" si="1"/>
        <v>96.1834015005387</v>
      </c>
      <c r="J16" s="72" t="s">
        <v>2</v>
      </c>
      <c r="K16" s="14"/>
    </row>
    <row r="17" spans="2:12" ht="18">
      <c r="B17" s="21" t="s">
        <v>18</v>
      </c>
      <c r="C17" s="40" t="s">
        <v>70</v>
      </c>
      <c r="D17" s="23">
        <f>2525419+59400+763.32</f>
        <v>2585582.32</v>
      </c>
      <c r="E17" s="23">
        <v>2513408.71</v>
      </c>
      <c r="F17" s="23">
        <v>55003.57</v>
      </c>
      <c r="G17" s="23"/>
      <c r="H17" s="2">
        <f t="shared" si="0"/>
        <v>2568412.28</v>
      </c>
      <c r="I17" s="89">
        <f t="shared" si="1"/>
        <v>99.33593141215476</v>
      </c>
      <c r="J17" s="24"/>
      <c r="K17" s="14"/>
      <c r="L17" s="5"/>
    </row>
    <row r="18" spans="2:12" ht="18">
      <c r="B18" s="21" t="s">
        <v>19</v>
      </c>
      <c r="C18" s="40" t="s">
        <v>71</v>
      </c>
      <c r="D18" s="23">
        <f>313532+84716+85007.39</f>
        <v>483255.39</v>
      </c>
      <c r="E18" s="23">
        <v>312824.72</v>
      </c>
      <c r="F18" s="23">
        <v>84694.97</v>
      </c>
      <c r="G18" s="23">
        <v>84895.43</v>
      </c>
      <c r="H18" s="2">
        <f t="shared" si="0"/>
        <v>482415.11999999994</v>
      </c>
      <c r="I18" s="89">
        <f t="shared" si="1"/>
        <v>99.82612299471712</v>
      </c>
      <c r="J18" s="24"/>
      <c r="K18" s="15"/>
      <c r="L18" s="5"/>
    </row>
    <row r="19" spans="2:11" ht="18">
      <c r="B19" s="21" t="s">
        <v>20</v>
      </c>
      <c r="C19" s="40" t="s">
        <v>72</v>
      </c>
      <c r="D19" s="23">
        <f>158084+10000+55000</f>
        <v>223084</v>
      </c>
      <c r="E19" s="23">
        <v>158084</v>
      </c>
      <c r="F19" s="23">
        <v>10000</v>
      </c>
      <c r="G19" s="23">
        <v>54997.52</v>
      </c>
      <c r="H19" s="2">
        <f t="shared" si="0"/>
        <v>223081.52</v>
      </c>
      <c r="I19" s="89">
        <f t="shared" si="1"/>
        <v>99.99888831112943</v>
      </c>
      <c r="J19" s="24"/>
      <c r="K19" s="14"/>
    </row>
    <row r="20" spans="2:11" ht="18">
      <c r="B20" s="21" t="s">
        <v>21</v>
      </c>
      <c r="C20" s="40" t="s">
        <v>73</v>
      </c>
      <c r="D20" s="23">
        <f>59000+60000</f>
        <v>119000</v>
      </c>
      <c r="E20" s="23">
        <v>58974</v>
      </c>
      <c r="F20" s="23">
        <v>59968.2</v>
      </c>
      <c r="G20" s="23"/>
      <c r="H20" s="2">
        <f t="shared" si="0"/>
        <v>118942.2</v>
      </c>
      <c r="I20" s="89">
        <f t="shared" si="1"/>
        <v>99.95142857142856</v>
      </c>
      <c r="J20" s="24"/>
      <c r="K20" s="14"/>
    </row>
    <row r="21" spans="2:11" ht="18">
      <c r="B21" s="21" t="s">
        <v>22</v>
      </c>
      <c r="C21" s="80" t="s">
        <v>74</v>
      </c>
      <c r="D21" s="23">
        <f>1178409+978666+294741.8</f>
        <v>2451816.8</v>
      </c>
      <c r="E21" s="23">
        <v>1169865.59</v>
      </c>
      <c r="F21" s="23">
        <v>781587.26</v>
      </c>
      <c r="G21" s="23">
        <v>294677.35</v>
      </c>
      <c r="H21" s="2">
        <f t="shared" si="0"/>
        <v>2246130.2</v>
      </c>
      <c r="I21" s="89">
        <f t="shared" si="1"/>
        <v>91.61084955450181</v>
      </c>
      <c r="J21" s="24"/>
      <c r="K21" s="14"/>
    </row>
    <row r="22" spans="2:11" s="8" customFormat="1" ht="18">
      <c r="B22" s="19">
        <v>3</v>
      </c>
      <c r="C22" s="78" t="s">
        <v>108</v>
      </c>
      <c r="D22" s="20">
        <f>D23+D24+D25+D26+D27</f>
        <v>10018341.43</v>
      </c>
      <c r="E22" s="20">
        <f>E23+E24+E25+E26+E27</f>
        <v>7692752.899999999</v>
      </c>
      <c r="F22" s="20">
        <f>F23+F24+F25+F26+F27</f>
        <v>967375</v>
      </c>
      <c r="G22" s="20">
        <f>G23+G24+G25+G26+G27</f>
        <v>683637.23</v>
      </c>
      <c r="H22" s="20">
        <f t="shared" si="0"/>
        <v>9343765.129999999</v>
      </c>
      <c r="I22" s="88">
        <f t="shared" si="1"/>
        <v>93.26658704224258</v>
      </c>
      <c r="J22" s="72" t="s">
        <v>33</v>
      </c>
      <c r="K22" s="18"/>
    </row>
    <row r="23" spans="2:11" ht="18">
      <c r="B23" s="21" t="s">
        <v>18</v>
      </c>
      <c r="C23" s="40" t="s">
        <v>70</v>
      </c>
      <c r="D23" s="23">
        <f>5047452.26+24999</f>
        <v>5072451.26</v>
      </c>
      <c r="E23" s="23">
        <v>5044485.18</v>
      </c>
      <c r="F23" s="23">
        <v>24982.52</v>
      </c>
      <c r="G23" s="23"/>
      <c r="H23" s="2">
        <f t="shared" si="0"/>
        <v>5069467.699999999</v>
      </c>
      <c r="I23" s="89">
        <f t="shared" si="1"/>
        <v>99.94118110067359</v>
      </c>
      <c r="J23" s="24"/>
      <c r="K23" s="15"/>
    </row>
    <row r="24" spans="2:12" ht="18">
      <c r="B24" s="21" t="s">
        <v>19</v>
      </c>
      <c r="C24" s="40" t="s">
        <v>71</v>
      </c>
      <c r="D24" s="23">
        <f>426726+358357.47+41025.72</f>
        <v>826109.19</v>
      </c>
      <c r="E24" s="48">
        <v>422502.14</v>
      </c>
      <c r="F24" s="23">
        <v>233938.83</v>
      </c>
      <c r="G24" s="23">
        <v>40995.31</v>
      </c>
      <c r="H24" s="2">
        <f t="shared" si="0"/>
        <v>697436.28</v>
      </c>
      <c r="I24" s="89">
        <f t="shared" si="1"/>
        <v>84.42422484127069</v>
      </c>
      <c r="J24" s="24"/>
      <c r="K24" s="15"/>
      <c r="L24" s="5"/>
    </row>
    <row r="25" spans="2:11" ht="18">
      <c r="B25" s="21" t="s">
        <v>20</v>
      </c>
      <c r="C25" s="40" t="s">
        <v>72</v>
      </c>
      <c r="D25" s="23">
        <f>119055+17700</f>
        <v>136755</v>
      </c>
      <c r="E25" s="47">
        <v>119049.74</v>
      </c>
      <c r="F25" s="23">
        <v>13902.27</v>
      </c>
      <c r="G25" s="23"/>
      <c r="H25" s="2">
        <f t="shared" si="0"/>
        <v>132952.01</v>
      </c>
      <c r="I25" s="89">
        <f t="shared" si="1"/>
        <v>97.21912178713758</v>
      </c>
      <c r="J25" s="24"/>
      <c r="K25" s="14"/>
    </row>
    <row r="26" spans="2:11" ht="18">
      <c r="B26" s="21" t="s">
        <v>21</v>
      </c>
      <c r="C26" s="40" t="s">
        <v>73</v>
      </c>
      <c r="D26" s="23">
        <f>80000+851.83</f>
        <v>80851.83</v>
      </c>
      <c r="E26" s="23">
        <v>0</v>
      </c>
      <c r="F26" s="23">
        <v>77607.35</v>
      </c>
      <c r="G26" s="23">
        <v>851.83</v>
      </c>
      <c r="H26" s="2">
        <f t="shared" si="0"/>
        <v>78459.18000000001</v>
      </c>
      <c r="I26" s="89">
        <f t="shared" si="1"/>
        <v>97.04069778012446</v>
      </c>
      <c r="J26" s="24"/>
      <c r="K26" s="14"/>
    </row>
    <row r="27" spans="2:11" ht="18">
      <c r="B27" s="21" t="s">
        <v>22</v>
      </c>
      <c r="C27" s="80" t="s">
        <v>74</v>
      </c>
      <c r="D27" s="23">
        <f>2248652.1+1011101.53+642420.52</f>
        <v>3902174.15</v>
      </c>
      <c r="E27" s="47">
        <v>2106715.84</v>
      </c>
      <c r="F27" s="23">
        <v>616944.03</v>
      </c>
      <c r="G27" s="23">
        <v>641790.09</v>
      </c>
      <c r="H27" s="2">
        <f t="shared" si="0"/>
        <v>3365449.96</v>
      </c>
      <c r="I27" s="89">
        <f t="shared" si="1"/>
        <v>86.24550905807216</v>
      </c>
      <c r="J27" s="24"/>
      <c r="K27" s="14"/>
    </row>
    <row r="28" spans="2:11" s="8" customFormat="1" ht="18">
      <c r="B28" s="19">
        <v>4</v>
      </c>
      <c r="C28" s="78" t="s">
        <v>107</v>
      </c>
      <c r="D28" s="20">
        <f>D29+D30+D31+D32+D33</f>
        <v>4083836.79</v>
      </c>
      <c r="E28" s="20">
        <f>E29+E30+E31+E32+E33</f>
        <v>3101793.3</v>
      </c>
      <c r="F28" s="20">
        <f>F29+F30+F31+F33</f>
        <v>362854.81</v>
      </c>
      <c r="G28" s="20">
        <f>G29+G30+G31+G32+G33</f>
        <v>364777.69000000006</v>
      </c>
      <c r="H28" s="20">
        <f t="shared" si="0"/>
        <v>3829425.8</v>
      </c>
      <c r="I28" s="88">
        <f t="shared" si="1"/>
        <v>93.7702948701826</v>
      </c>
      <c r="J28" s="72" t="s">
        <v>32</v>
      </c>
      <c r="K28" s="14"/>
    </row>
    <row r="29" spans="2:11" ht="18">
      <c r="B29" s="21" t="s">
        <v>18</v>
      </c>
      <c r="C29" s="40" t="s">
        <v>70</v>
      </c>
      <c r="D29" s="23">
        <f>2174326+18000</f>
        <v>2192326</v>
      </c>
      <c r="E29" s="23">
        <v>2158555.44</v>
      </c>
      <c r="F29" s="23">
        <v>11344.4</v>
      </c>
      <c r="G29" s="23"/>
      <c r="H29" s="2">
        <f t="shared" si="0"/>
        <v>2169899.84</v>
      </c>
      <c r="I29" s="89">
        <f t="shared" si="1"/>
        <v>98.97706089331604</v>
      </c>
      <c r="J29" s="24"/>
      <c r="K29" s="15"/>
    </row>
    <row r="30" spans="2:11" ht="18">
      <c r="B30" s="21" t="s">
        <v>19</v>
      </c>
      <c r="C30" s="40" t="s">
        <v>71</v>
      </c>
      <c r="D30" s="23">
        <f>223456+16337+100300.31</f>
        <v>340093.31</v>
      </c>
      <c r="E30" s="23">
        <v>218255.27</v>
      </c>
      <c r="F30" s="23">
        <v>16126.03</v>
      </c>
      <c r="G30" s="23">
        <v>91341.35</v>
      </c>
      <c r="H30" s="2">
        <f t="shared" si="0"/>
        <v>325722.65</v>
      </c>
      <c r="I30" s="89">
        <f t="shared" si="1"/>
        <v>95.77449494669567</v>
      </c>
      <c r="J30" s="24"/>
      <c r="K30" s="14"/>
    </row>
    <row r="31" spans="2:11" ht="18">
      <c r="B31" s="21" t="s">
        <v>20</v>
      </c>
      <c r="C31" s="40" t="s">
        <v>72</v>
      </c>
      <c r="D31" s="23">
        <f>72250+11063</f>
        <v>83313</v>
      </c>
      <c r="E31" s="23">
        <v>72209.9</v>
      </c>
      <c r="F31" s="23">
        <v>10898.2</v>
      </c>
      <c r="G31" s="23"/>
      <c r="H31" s="2">
        <f t="shared" si="0"/>
        <v>83108.09999999999</v>
      </c>
      <c r="I31" s="89">
        <f t="shared" si="1"/>
        <v>99.7540599906377</v>
      </c>
      <c r="J31" s="24"/>
      <c r="K31" s="14"/>
    </row>
    <row r="32" spans="2:11" ht="18">
      <c r="B32" s="21" t="s">
        <v>21</v>
      </c>
      <c r="C32" s="40" t="s">
        <v>73</v>
      </c>
      <c r="D32" s="23">
        <v>53000</v>
      </c>
      <c r="E32" s="23">
        <v>52469.34</v>
      </c>
      <c r="F32" s="23">
        <v>0</v>
      </c>
      <c r="G32" s="23"/>
      <c r="H32" s="2">
        <f t="shared" si="0"/>
        <v>52469.34</v>
      </c>
      <c r="I32" s="89">
        <f t="shared" si="1"/>
        <v>98.99875471698113</v>
      </c>
      <c r="J32" s="24"/>
      <c r="K32" s="14"/>
    </row>
    <row r="33" spans="2:11" ht="18">
      <c r="B33" s="21" t="s">
        <v>22</v>
      </c>
      <c r="C33" s="80" t="s">
        <v>74</v>
      </c>
      <c r="D33" s="23">
        <f>617431+465418+332255.48</f>
        <v>1415104.48</v>
      </c>
      <c r="E33" s="23">
        <v>600303.35</v>
      </c>
      <c r="F33" s="23">
        <v>324486.18</v>
      </c>
      <c r="G33" s="23">
        <v>273436.34</v>
      </c>
      <c r="H33" s="2">
        <f t="shared" si="0"/>
        <v>1198225.87</v>
      </c>
      <c r="I33" s="89">
        <f t="shared" si="1"/>
        <v>84.67402138391931</v>
      </c>
      <c r="J33" s="24"/>
      <c r="K33" s="14"/>
    </row>
    <row r="34" spans="2:11" s="8" customFormat="1" ht="18">
      <c r="B34" s="19">
        <v>5</v>
      </c>
      <c r="C34" s="78" t="s">
        <v>106</v>
      </c>
      <c r="D34" s="20">
        <f>D35+D36+D37+D38+D39</f>
        <v>14168960.61</v>
      </c>
      <c r="E34" s="20">
        <f>E35+E36+E37+E38+E39</f>
        <v>12493863.110000001</v>
      </c>
      <c r="F34" s="20">
        <f>F35+F36+F37+F38+F39</f>
        <v>786141.55</v>
      </c>
      <c r="G34" s="20">
        <f>G35+G36+G37+G38+G39</f>
        <v>348189.35</v>
      </c>
      <c r="H34" s="20">
        <f t="shared" si="0"/>
        <v>13628194.010000002</v>
      </c>
      <c r="I34" s="88">
        <f t="shared" si="1"/>
        <v>96.18344199772606</v>
      </c>
      <c r="J34" s="72" t="s">
        <v>3</v>
      </c>
      <c r="K34" s="15"/>
    </row>
    <row r="35" spans="2:11" ht="18">
      <c r="B35" s="21" t="s">
        <v>18</v>
      </c>
      <c r="C35" s="40" t="s">
        <v>70</v>
      </c>
      <c r="D35" s="23">
        <f>6682228+78000+8588.94</f>
        <v>6768816.94</v>
      </c>
      <c r="E35" s="23">
        <v>6679626.58</v>
      </c>
      <c r="F35" s="23">
        <v>51873.51</v>
      </c>
      <c r="G35" s="23">
        <v>8574.56</v>
      </c>
      <c r="H35" s="2">
        <f t="shared" si="0"/>
        <v>6740074.649999999</v>
      </c>
      <c r="I35" s="89">
        <f t="shared" si="1"/>
        <v>99.57537202948791</v>
      </c>
      <c r="J35" s="24"/>
      <c r="K35" s="15"/>
    </row>
    <row r="36" spans="2:11" ht="18">
      <c r="B36" s="21" t="s">
        <v>19</v>
      </c>
      <c r="C36" s="40" t="s">
        <v>71</v>
      </c>
      <c r="D36" s="23">
        <f>702608+62000+174128.82</f>
        <v>938736.8200000001</v>
      </c>
      <c r="E36" s="23">
        <v>701392.56</v>
      </c>
      <c r="F36" s="23">
        <v>14122.36</v>
      </c>
      <c r="G36" s="23">
        <v>173342.95</v>
      </c>
      <c r="H36" s="2">
        <f t="shared" si="0"/>
        <v>888857.8700000001</v>
      </c>
      <c r="I36" s="89">
        <f t="shared" si="1"/>
        <v>94.68658851583132</v>
      </c>
      <c r="J36" s="24"/>
      <c r="K36" s="15"/>
    </row>
    <row r="37" spans="2:11" ht="18">
      <c r="B37" s="21" t="s">
        <v>20</v>
      </c>
      <c r="C37" s="40" t="s">
        <v>72</v>
      </c>
      <c r="D37" s="23">
        <v>291182</v>
      </c>
      <c r="E37" s="23">
        <v>290989.34</v>
      </c>
      <c r="F37" s="23"/>
      <c r="G37" s="23"/>
      <c r="H37" s="2">
        <f t="shared" si="0"/>
        <v>290989.34</v>
      </c>
      <c r="I37" s="89">
        <f t="shared" si="1"/>
        <v>99.93383519585689</v>
      </c>
      <c r="J37" s="24"/>
      <c r="K37" s="14"/>
    </row>
    <row r="38" spans="2:11" ht="18">
      <c r="B38" s="21" t="s">
        <v>21</v>
      </c>
      <c r="C38" s="40" t="s">
        <v>73</v>
      </c>
      <c r="D38" s="23">
        <f>55000+90000+40000</f>
        <v>185000</v>
      </c>
      <c r="E38" s="23">
        <v>54986.23</v>
      </c>
      <c r="F38" s="23">
        <v>71399.94</v>
      </c>
      <c r="G38" s="23">
        <v>40000</v>
      </c>
      <c r="H38" s="2">
        <f t="shared" si="0"/>
        <v>166386.17</v>
      </c>
      <c r="I38" s="89">
        <f t="shared" si="1"/>
        <v>89.93847027027027</v>
      </c>
      <c r="J38" s="24"/>
      <c r="K38" s="14"/>
    </row>
    <row r="39" spans="2:11" ht="18">
      <c r="B39" s="21" t="s">
        <v>22</v>
      </c>
      <c r="C39" s="80" t="s">
        <v>74</v>
      </c>
      <c r="D39" s="23">
        <f>4768397+1090556+126271.85</f>
        <v>5985224.85</v>
      </c>
      <c r="E39" s="23">
        <v>4766868.4</v>
      </c>
      <c r="F39" s="23">
        <v>648745.74</v>
      </c>
      <c r="G39" s="23">
        <v>126271.84</v>
      </c>
      <c r="H39" s="2">
        <f t="shared" si="0"/>
        <v>5541885.98</v>
      </c>
      <c r="I39" s="89">
        <f t="shared" si="1"/>
        <v>92.59277836487631</v>
      </c>
      <c r="J39" s="24"/>
      <c r="K39" s="14"/>
    </row>
    <row r="40" spans="2:11" s="8" customFormat="1" ht="18">
      <c r="B40" s="19">
        <v>6</v>
      </c>
      <c r="C40" s="78" t="s">
        <v>105</v>
      </c>
      <c r="D40" s="20">
        <f>D41+D42+D43+D44+D45</f>
        <v>65239770.309999995</v>
      </c>
      <c r="E40" s="25">
        <f>E41+E42+E43+E44+E45</f>
        <v>32722096.450000003</v>
      </c>
      <c r="F40" s="25">
        <f>F41+F42+F43+F44+F45</f>
        <v>7046994.3100000005</v>
      </c>
      <c r="G40" s="25">
        <f>G41+G42+G43+G44+G45</f>
        <v>8231841.58</v>
      </c>
      <c r="H40" s="20">
        <f t="shared" si="0"/>
        <v>48000932.34</v>
      </c>
      <c r="I40" s="88">
        <f t="shared" si="1"/>
        <v>73.57618230707105</v>
      </c>
      <c r="J40" s="73" t="s">
        <v>4</v>
      </c>
      <c r="K40" s="14"/>
    </row>
    <row r="41" spans="2:11" ht="18">
      <c r="B41" s="26" t="s">
        <v>18</v>
      </c>
      <c r="C41" s="40" t="s">
        <v>70</v>
      </c>
      <c r="D41" s="3">
        <f>15938216+99480+860296.24</f>
        <v>16897992.24</v>
      </c>
      <c r="E41" s="3">
        <v>15917897.43</v>
      </c>
      <c r="F41" s="3">
        <v>99299.39</v>
      </c>
      <c r="G41" s="3">
        <v>516811.71</v>
      </c>
      <c r="H41" s="2">
        <f t="shared" si="0"/>
        <v>16534008.530000001</v>
      </c>
      <c r="I41" s="89">
        <f t="shared" si="1"/>
        <v>97.84599433571525</v>
      </c>
      <c r="J41" s="27"/>
      <c r="K41" s="15"/>
    </row>
    <row r="42" spans="2:11" ht="18">
      <c r="B42" s="26" t="s">
        <v>19</v>
      </c>
      <c r="C42" s="40" t="s">
        <v>71</v>
      </c>
      <c r="D42" s="3">
        <f>3606633+1038520+1368377.91</f>
        <v>6013530.91</v>
      </c>
      <c r="E42" s="3">
        <v>3571843.34</v>
      </c>
      <c r="F42" s="3">
        <v>506767.04</v>
      </c>
      <c r="G42" s="42">
        <v>1076521.47</v>
      </c>
      <c r="H42" s="2">
        <f t="shared" si="0"/>
        <v>5155131.85</v>
      </c>
      <c r="I42" s="89">
        <f t="shared" si="1"/>
        <v>85.72554007209717</v>
      </c>
      <c r="J42" s="27"/>
      <c r="K42" s="14"/>
    </row>
    <row r="43" spans="2:11" ht="18">
      <c r="B43" s="26" t="s">
        <v>20</v>
      </c>
      <c r="C43" s="40" t="s">
        <v>72</v>
      </c>
      <c r="D43" s="3">
        <v>2115714</v>
      </c>
      <c r="E43" s="3">
        <v>2100659.52</v>
      </c>
      <c r="F43" s="3"/>
      <c r="G43" s="3"/>
      <c r="H43" s="2">
        <f t="shared" si="0"/>
        <v>2100659.52</v>
      </c>
      <c r="I43" s="89">
        <f t="shared" si="1"/>
        <v>99.28844446839223</v>
      </c>
      <c r="J43" s="27"/>
      <c r="K43" s="14"/>
    </row>
    <row r="44" spans="2:11" ht="18">
      <c r="B44" s="26" t="s">
        <v>21</v>
      </c>
      <c r="C44" s="40" t="s">
        <v>73</v>
      </c>
      <c r="D44" s="3">
        <f>6142+540000+500000</f>
        <v>1046142</v>
      </c>
      <c r="E44" s="3">
        <v>6141.28</v>
      </c>
      <c r="F44" s="3">
        <v>532010.01</v>
      </c>
      <c r="G44" s="3">
        <v>500000</v>
      </c>
      <c r="H44" s="2">
        <f t="shared" si="0"/>
        <v>1038151.29</v>
      </c>
      <c r="I44" s="89">
        <f t="shared" si="1"/>
        <v>99.23617348314092</v>
      </c>
      <c r="J44" s="27"/>
      <c r="K44" s="14"/>
    </row>
    <row r="45" spans="2:11" ht="18">
      <c r="B45" s="26" t="s">
        <v>22</v>
      </c>
      <c r="C45" s="80" t="s">
        <v>74</v>
      </c>
      <c r="D45" s="74">
        <f>11161291+18041126+9963974.16</f>
        <v>39166391.16</v>
      </c>
      <c r="E45" s="3">
        <v>11125554.88</v>
      </c>
      <c r="F45" s="3">
        <v>5908917.87</v>
      </c>
      <c r="G45" s="4">
        <v>6138508.4</v>
      </c>
      <c r="H45" s="2">
        <f t="shared" si="0"/>
        <v>23172981.15</v>
      </c>
      <c r="I45" s="89">
        <f t="shared" si="1"/>
        <v>59.16547443785475</v>
      </c>
      <c r="J45" s="28"/>
      <c r="K45" s="14"/>
    </row>
    <row r="46" spans="2:11" s="8" customFormat="1" ht="18">
      <c r="B46" s="19">
        <v>7</v>
      </c>
      <c r="C46" s="78" t="s">
        <v>104</v>
      </c>
      <c r="D46" s="20">
        <f>D47+D48+D49+D50+D51</f>
        <v>4015504.5599999996</v>
      </c>
      <c r="E46" s="20">
        <f>E47+E48+E49+E50+E51</f>
        <v>3495881.8499999996</v>
      </c>
      <c r="F46" s="20">
        <f>F47+F48+F49+F50+F51</f>
        <v>256527.34</v>
      </c>
      <c r="G46" s="20">
        <f>G47+G48+G49+G50+G51</f>
        <v>78388.37</v>
      </c>
      <c r="H46" s="20">
        <f t="shared" si="0"/>
        <v>3830797.5599999996</v>
      </c>
      <c r="I46" s="88">
        <f t="shared" si="1"/>
        <v>95.40015464457598</v>
      </c>
      <c r="J46" s="72" t="s">
        <v>5</v>
      </c>
      <c r="K46" s="14"/>
    </row>
    <row r="47" spans="2:11" ht="18">
      <c r="B47" s="21" t="s">
        <v>18</v>
      </c>
      <c r="C47" s="40" t="s">
        <v>70</v>
      </c>
      <c r="D47" s="23">
        <f>2171134+9000+6946.4</f>
        <v>2187080.4</v>
      </c>
      <c r="E47" s="23">
        <v>2162127.27</v>
      </c>
      <c r="F47" s="23">
        <v>8867.62</v>
      </c>
      <c r="G47" s="23">
        <v>6946.4</v>
      </c>
      <c r="H47" s="2">
        <f t="shared" si="0"/>
        <v>2177941.29</v>
      </c>
      <c r="I47" s="89">
        <f t="shared" si="1"/>
        <v>99.5821319600322</v>
      </c>
      <c r="J47" s="24"/>
      <c r="K47" s="15"/>
    </row>
    <row r="48" spans="2:11" ht="18">
      <c r="B48" s="21" t="s">
        <v>19</v>
      </c>
      <c r="C48" s="40" t="s">
        <v>71</v>
      </c>
      <c r="D48" s="23">
        <f>328308+27999</f>
        <v>356307</v>
      </c>
      <c r="E48" s="23">
        <v>327196.78</v>
      </c>
      <c r="F48" s="23">
        <v>5539.7</v>
      </c>
      <c r="G48" s="23"/>
      <c r="H48" s="2">
        <f t="shared" si="0"/>
        <v>332736.48000000004</v>
      </c>
      <c r="I48" s="89">
        <f t="shared" si="1"/>
        <v>93.38477212067123</v>
      </c>
      <c r="J48" s="24"/>
      <c r="K48" s="14"/>
    </row>
    <row r="49" spans="2:11" ht="18">
      <c r="B49" s="21" t="s">
        <v>20</v>
      </c>
      <c r="C49" s="40" t="s">
        <v>72</v>
      </c>
      <c r="D49" s="23">
        <v>109620</v>
      </c>
      <c r="E49" s="23">
        <v>109167.29</v>
      </c>
      <c r="F49" s="23"/>
      <c r="G49" s="23"/>
      <c r="H49" s="2">
        <f t="shared" si="0"/>
        <v>109167.29</v>
      </c>
      <c r="I49" s="89">
        <f t="shared" si="1"/>
        <v>99.5870187921912</v>
      </c>
      <c r="J49" s="24"/>
      <c r="K49" s="14"/>
    </row>
    <row r="50" spans="2:11" ht="18">
      <c r="B50" s="21" t="s">
        <v>21</v>
      </c>
      <c r="C50" s="40" t="s">
        <v>73</v>
      </c>
      <c r="D50" s="23">
        <f>61000+5000</f>
        <v>66000</v>
      </c>
      <c r="E50" s="23">
        <v>0</v>
      </c>
      <c r="F50" s="23">
        <v>57584</v>
      </c>
      <c r="G50" s="23">
        <v>5000</v>
      </c>
      <c r="H50" s="2">
        <f t="shared" si="0"/>
        <v>62584</v>
      </c>
      <c r="I50" s="89">
        <f t="shared" si="1"/>
        <v>94.82424242424243</v>
      </c>
      <c r="J50" s="24"/>
      <c r="K50" s="14"/>
    </row>
    <row r="51" spans="2:11" ht="18">
      <c r="B51" s="21" t="s">
        <v>22</v>
      </c>
      <c r="C51" s="80" t="s">
        <v>74</v>
      </c>
      <c r="D51" s="23">
        <f>899218+274512+122767.16</f>
        <v>1296497.16</v>
      </c>
      <c r="E51" s="23">
        <v>897390.51</v>
      </c>
      <c r="F51" s="23">
        <v>184536.02</v>
      </c>
      <c r="G51" s="23">
        <v>66441.97</v>
      </c>
      <c r="H51" s="2">
        <f t="shared" si="0"/>
        <v>1148368.5</v>
      </c>
      <c r="I51" s="89">
        <f t="shared" si="1"/>
        <v>88.57470231558395</v>
      </c>
      <c r="J51" s="24"/>
      <c r="K51" s="14"/>
    </row>
    <row r="52" spans="2:11" s="8" customFormat="1" ht="18">
      <c r="B52" s="19">
        <v>8</v>
      </c>
      <c r="C52" s="78" t="s">
        <v>103</v>
      </c>
      <c r="D52" s="20">
        <f>D53+D54+D55+D56+D57</f>
        <v>4626745.13</v>
      </c>
      <c r="E52" s="20">
        <f>E53+E54+E55+E56+E57</f>
        <v>4067246.42</v>
      </c>
      <c r="F52" s="20">
        <f>F53+F54+F55+F56+F57</f>
        <v>313143.77</v>
      </c>
      <c r="G52" s="20">
        <f>G53+G54+G55+G56+G57</f>
        <v>128722.88</v>
      </c>
      <c r="H52" s="20">
        <f t="shared" si="0"/>
        <v>4509113.069999999</v>
      </c>
      <c r="I52" s="88">
        <f t="shared" si="1"/>
        <v>97.45756343401607</v>
      </c>
      <c r="J52" s="72" t="s">
        <v>6</v>
      </c>
      <c r="K52" s="14"/>
    </row>
    <row r="53" spans="2:11" ht="18">
      <c r="B53" s="21" t="s">
        <v>18</v>
      </c>
      <c r="C53" s="40" t="s">
        <v>70</v>
      </c>
      <c r="D53" s="23">
        <f>2471322+6251</f>
        <v>2477573</v>
      </c>
      <c r="E53" s="23">
        <v>2444254.64</v>
      </c>
      <c r="F53" s="23"/>
      <c r="G53" s="23">
        <v>6250.29</v>
      </c>
      <c r="H53" s="2">
        <f t="shared" si="0"/>
        <v>2450504.93</v>
      </c>
      <c r="I53" s="89">
        <f t="shared" si="1"/>
        <v>98.90747638919217</v>
      </c>
      <c r="J53" s="24"/>
      <c r="K53" s="15"/>
    </row>
    <row r="54" spans="2:11" ht="18">
      <c r="B54" s="21" t="s">
        <v>19</v>
      </c>
      <c r="C54" s="40" t="s">
        <v>71</v>
      </c>
      <c r="D54" s="23">
        <f>266599+64000+16954.47</f>
        <v>347553.47</v>
      </c>
      <c r="E54" s="23">
        <v>266573.42</v>
      </c>
      <c r="F54" s="23">
        <v>63998</v>
      </c>
      <c r="G54" s="23">
        <v>16953.71</v>
      </c>
      <c r="H54" s="2">
        <f t="shared" si="0"/>
        <v>347525.13</v>
      </c>
      <c r="I54" s="89">
        <f t="shared" si="1"/>
        <v>99.99184585899835</v>
      </c>
      <c r="J54" s="24"/>
      <c r="K54" s="14"/>
    </row>
    <row r="55" spans="2:11" ht="18">
      <c r="B55" s="21" t="s">
        <v>20</v>
      </c>
      <c r="C55" s="40" t="s">
        <v>72</v>
      </c>
      <c r="D55" s="23">
        <v>95370</v>
      </c>
      <c r="E55" s="23">
        <v>95369.37</v>
      </c>
      <c r="F55" s="23"/>
      <c r="G55" s="23"/>
      <c r="H55" s="2">
        <f t="shared" si="0"/>
        <v>95369.37</v>
      </c>
      <c r="I55" s="89">
        <f t="shared" si="1"/>
        <v>99.99933941491035</v>
      </c>
      <c r="J55" s="24"/>
      <c r="K55" s="14"/>
    </row>
    <row r="56" spans="2:11" ht="18">
      <c r="B56" s="21" t="s">
        <v>21</v>
      </c>
      <c r="C56" s="40" t="s">
        <v>73</v>
      </c>
      <c r="D56" s="23">
        <v>35000</v>
      </c>
      <c r="E56" s="23"/>
      <c r="F56" s="23">
        <v>32152.22</v>
      </c>
      <c r="G56" s="23"/>
      <c r="H56" s="2">
        <f t="shared" si="0"/>
        <v>32152.22</v>
      </c>
      <c r="I56" s="89">
        <f t="shared" si="1"/>
        <v>91.86348571428572</v>
      </c>
      <c r="J56" s="24"/>
      <c r="K56" s="14"/>
    </row>
    <row r="57" spans="2:11" ht="18">
      <c r="B57" s="21" t="s">
        <v>22</v>
      </c>
      <c r="C57" s="80" t="s">
        <v>74</v>
      </c>
      <c r="D57" s="23">
        <f>1274405+257891+138952.66</f>
        <v>1671248.66</v>
      </c>
      <c r="E57" s="23">
        <v>1261048.99</v>
      </c>
      <c r="F57" s="23">
        <v>216993.55</v>
      </c>
      <c r="G57" s="23">
        <v>105518.88</v>
      </c>
      <c r="H57" s="2">
        <f t="shared" si="0"/>
        <v>1583561.42</v>
      </c>
      <c r="I57" s="89">
        <f t="shared" si="1"/>
        <v>94.75319010876574</v>
      </c>
      <c r="J57" s="24"/>
      <c r="K57" s="14"/>
    </row>
    <row r="58" spans="2:11" s="8" customFormat="1" ht="18">
      <c r="B58" s="19">
        <v>9</v>
      </c>
      <c r="C58" s="78" t="s">
        <v>31</v>
      </c>
      <c r="D58" s="20">
        <f>D59+D60+D61+D62+D63</f>
        <v>27568450.060000002</v>
      </c>
      <c r="E58" s="20">
        <f>E59+E60+E61+E62+E63</f>
        <v>21119191.72</v>
      </c>
      <c r="F58" s="20">
        <f>F59+F60+F61+F62+F63</f>
        <v>3033560.16</v>
      </c>
      <c r="G58" s="20">
        <f>G59+G60+G61+G62+G63</f>
        <v>734909.99</v>
      </c>
      <c r="H58" s="20">
        <f t="shared" si="0"/>
        <v>24887661.869999997</v>
      </c>
      <c r="I58" s="88">
        <f t="shared" si="1"/>
        <v>90.27588354018621</v>
      </c>
      <c r="J58" s="72" t="s">
        <v>31</v>
      </c>
      <c r="K58" s="18"/>
    </row>
    <row r="59" spans="2:11" ht="18">
      <c r="B59" s="21" t="s">
        <v>18</v>
      </c>
      <c r="C59" s="40" t="s">
        <v>70</v>
      </c>
      <c r="D59" s="23">
        <f>10952342+220000+99101.18</f>
        <v>11271443.18</v>
      </c>
      <c r="E59" s="23">
        <v>10875338.06</v>
      </c>
      <c r="F59" s="23">
        <v>154722.25</v>
      </c>
      <c r="G59" s="23">
        <v>99065</v>
      </c>
      <c r="H59" s="2">
        <f t="shared" si="0"/>
        <v>11129125.31</v>
      </c>
      <c r="I59" s="89">
        <f t="shared" si="1"/>
        <v>98.73735893685267</v>
      </c>
      <c r="J59" s="24"/>
      <c r="K59" s="15"/>
    </row>
    <row r="60" spans="2:11" ht="18">
      <c r="B60" s="21" t="s">
        <v>19</v>
      </c>
      <c r="C60" s="40" t="s">
        <v>71</v>
      </c>
      <c r="D60" s="23">
        <f>1886908+130000+468302</f>
        <v>2485210</v>
      </c>
      <c r="E60" s="23">
        <v>1876892.76</v>
      </c>
      <c r="F60" s="23">
        <v>8273</v>
      </c>
      <c r="G60" s="23">
        <v>442012.35</v>
      </c>
      <c r="H60" s="2">
        <f t="shared" si="0"/>
        <v>2327178.11</v>
      </c>
      <c r="I60" s="89">
        <f t="shared" si="1"/>
        <v>93.64110517823443</v>
      </c>
      <c r="J60" s="24"/>
      <c r="K60" s="14"/>
    </row>
    <row r="61" spans="2:11" ht="18">
      <c r="B61" s="21" t="s">
        <v>20</v>
      </c>
      <c r="C61" s="40" t="s">
        <v>72</v>
      </c>
      <c r="D61" s="23">
        <v>658898</v>
      </c>
      <c r="E61" s="23">
        <v>616552.36</v>
      </c>
      <c r="F61" s="23"/>
      <c r="G61" s="23"/>
      <c r="H61" s="2">
        <f t="shared" si="0"/>
        <v>616552.36</v>
      </c>
      <c r="I61" s="89">
        <f t="shared" si="1"/>
        <v>93.57326323649488</v>
      </c>
      <c r="J61" s="24"/>
      <c r="K61" s="14"/>
    </row>
    <row r="62" spans="2:11" ht="18">
      <c r="B62" s="21" t="s">
        <v>21</v>
      </c>
      <c r="C62" s="40" t="s">
        <v>73</v>
      </c>
      <c r="D62" s="23">
        <f>12000+350000+20003</f>
        <v>382003</v>
      </c>
      <c r="E62" s="23">
        <v>12000</v>
      </c>
      <c r="F62" s="23">
        <v>340038.35</v>
      </c>
      <c r="G62" s="23">
        <v>19966</v>
      </c>
      <c r="H62" s="2">
        <f t="shared" si="0"/>
        <v>372004.35</v>
      </c>
      <c r="I62" s="89">
        <f t="shared" si="1"/>
        <v>97.38257291173106</v>
      </c>
      <c r="J62" s="24"/>
      <c r="K62" s="14"/>
    </row>
    <row r="63" spans="2:12" ht="18">
      <c r="B63" s="21" t="s">
        <v>22</v>
      </c>
      <c r="C63" s="80" t="s">
        <v>74</v>
      </c>
      <c r="D63" s="23">
        <f>8151409+4414235+205251.88</f>
        <v>12770895.88</v>
      </c>
      <c r="E63" s="23">
        <v>7738408.54</v>
      </c>
      <c r="F63" s="23">
        <v>2530526.56</v>
      </c>
      <c r="G63" s="23">
        <v>173866.64</v>
      </c>
      <c r="H63" s="2">
        <f t="shared" si="0"/>
        <v>10442801.74</v>
      </c>
      <c r="I63" s="89">
        <f t="shared" si="1"/>
        <v>81.77031461319845</v>
      </c>
      <c r="J63" s="24"/>
      <c r="K63" s="14"/>
      <c r="L63" s="13"/>
    </row>
    <row r="64" spans="2:11" s="8" customFormat="1" ht="18">
      <c r="B64" s="19">
        <v>10</v>
      </c>
      <c r="C64" s="78" t="s">
        <v>102</v>
      </c>
      <c r="D64" s="20">
        <f>D65+D66+D67+D68+D69</f>
        <v>8499757.629999999</v>
      </c>
      <c r="E64" s="20">
        <f>E65+E66+E67+E69</f>
        <v>7068873.790000001</v>
      </c>
      <c r="F64" s="20">
        <f>F65+F66+F67+F68+F69</f>
        <v>538255.17</v>
      </c>
      <c r="G64" s="20">
        <f>G65+G66+G67+G68+G69</f>
        <v>115035.17</v>
      </c>
      <c r="H64" s="20">
        <f t="shared" si="0"/>
        <v>7722164.130000001</v>
      </c>
      <c r="I64" s="88">
        <f t="shared" si="1"/>
        <v>90.8515803173555</v>
      </c>
      <c r="J64" s="72" t="s">
        <v>7</v>
      </c>
      <c r="K64" s="14"/>
    </row>
    <row r="65" spans="2:11" ht="18">
      <c r="B65" s="21" t="s">
        <v>18</v>
      </c>
      <c r="C65" s="40" t="s">
        <v>70</v>
      </c>
      <c r="D65" s="23">
        <f>3976514+40000+10112</f>
        <v>4026626</v>
      </c>
      <c r="E65" s="23">
        <v>3961828.75</v>
      </c>
      <c r="F65" s="23">
        <v>23867.43</v>
      </c>
      <c r="G65" s="23">
        <v>10112</v>
      </c>
      <c r="H65" s="2">
        <f t="shared" si="0"/>
        <v>3995808.18</v>
      </c>
      <c r="I65" s="89">
        <f t="shared" si="1"/>
        <v>99.23464905854182</v>
      </c>
      <c r="J65" s="24"/>
      <c r="K65" s="15"/>
    </row>
    <row r="66" spans="2:11" ht="18">
      <c r="B66" s="21" t="s">
        <v>19</v>
      </c>
      <c r="C66" s="40" t="s">
        <v>71</v>
      </c>
      <c r="D66" s="23">
        <f>612671+19000+1982.63</f>
        <v>633653.63</v>
      </c>
      <c r="E66" s="23">
        <v>585278.46</v>
      </c>
      <c r="F66" s="23">
        <v>8683.07</v>
      </c>
      <c r="G66" s="23">
        <v>1976.95</v>
      </c>
      <c r="H66" s="2">
        <f t="shared" si="0"/>
        <v>595938.4799999999</v>
      </c>
      <c r="I66" s="89">
        <f t="shared" si="1"/>
        <v>94.04798643700659</v>
      </c>
      <c r="J66" s="24"/>
      <c r="K66" s="14"/>
    </row>
    <row r="67" spans="2:11" ht="18">
      <c r="B67" s="21" t="s">
        <v>20</v>
      </c>
      <c r="C67" s="40" t="s">
        <v>72</v>
      </c>
      <c r="D67" s="23">
        <v>268190</v>
      </c>
      <c r="E67" s="23">
        <v>268109.44</v>
      </c>
      <c r="F67" s="42"/>
      <c r="G67" s="23"/>
      <c r="H67" s="2">
        <f t="shared" si="0"/>
        <v>268109.44</v>
      </c>
      <c r="I67" s="89">
        <f t="shared" si="1"/>
        <v>99.96996159439203</v>
      </c>
      <c r="J67" s="24"/>
      <c r="K67" s="14"/>
    </row>
    <row r="68" spans="2:11" ht="18">
      <c r="B68" s="21" t="s">
        <v>21</v>
      </c>
      <c r="C68" s="40" t="s">
        <v>73</v>
      </c>
      <c r="D68" s="23">
        <v>120000</v>
      </c>
      <c r="E68" s="23">
        <v>0</v>
      </c>
      <c r="F68" s="23">
        <v>119929.39</v>
      </c>
      <c r="G68" s="23"/>
      <c r="H68" s="2">
        <f t="shared" si="0"/>
        <v>119929.39</v>
      </c>
      <c r="I68" s="89">
        <f t="shared" si="1"/>
        <v>99.94115833333333</v>
      </c>
      <c r="J68" s="24"/>
      <c r="K68" s="14"/>
    </row>
    <row r="69" spans="2:11" ht="18">
      <c r="B69" s="21" t="s">
        <v>22</v>
      </c>
      <c r="C69" s="80" t="s">
        <v>74</v>
      </c>
      <c r="D69" s="23">
        <f>2451726+734728+264834</f>
        <v>3451288</v>
      </c>
      <c r="E69" s="23">
        <v>2253657.14</v>
      </c>
      <c r="F69" s="23">
        <v>385775.28</v>
      </c>
      <c r="G69" s="23">
        <v>102946.22</v>
      </c>
      <c r="H69" s="2">
        <f t="shared" si="0"/>
        <v>2742378.64</v>
      </c>
      <c r="I69" s="89">
        <f t="shared" si="1"/>
        <v>79.45957103550907</v>
      </c>
      <c r="J69" s="24"/>
      <c r="K69" s="14"/>
    </row>
    <row r="70" spans="2:11" s="8" customFormat="1" ht="18">
      <c r="B70" s="19">
        <v>11</v>
      </c>
      <c r="C70" s="78" t="s">
        <v>101</v>
      </c>
      <c r="D70" s="20">
        <f>D71+D72+D73+D74+D75</f>
        <v>9980425.61</v>
      </c>
      <c r="E70" s="20">
        <f>E71+E72+E73+E74+E75</f>
        <v>7997866.859999999</v>
      </c>
      <c r="F70" s="20">
        <f>F71+F72+F73+F74+F75</f>
        <v>904027.2100000001</v>
      </c>
      <c r="G70" s="20">
        <f>G71+G72+G73+G74+G75</f>
        <v>282927.89</v>
      </c>
      <c r="H70" s="20">
        <f t="shared" si="0"/>
        <v>9184821.96</v>
      </c>
      <c r="I70" s="88">
        <f t="shared" si="1"/>
        <v>92.02835949999132</v>
      </c>
      <c r="J70" s="72" t="s">
        <v>30</v>
      </c>
      <c r="K70" s="14"/>
    </row>
    <row r="71" spans="2:11" ht="18">
      <c r="B71" s="21" t="s">
        <v>18</v>
      </c>
      <c r="C71" s="40" t="s">
        <v>70</v>
      </c>
      <c r="D71" s="23">
        <f>4560041+68400+8817.11</f>
        <v>4637258.11</v>
      </c>
      <c r="E71" s="23">
        <v>4538378.33</v>
      </c>
      <c r="F71" s="23">
        <v>48714.54</v>
      </c>
      <c r="G71" s="23">
        <v>8817.11</v>
      </c>
      <c r="H71" s="2">
        <f t="shared" si="0"/>
        <v>4595909.98</v>
      </c>
      <c r="I71" s="89">
        <f t="shared" si="1"/>
        <v>99.1083496104986</v>
      </c>
      <c r="J71" s="24"/>
      <c r="K71" s="15"/>
    </row>
    <row r="72" spans="2:11" ht="18">
      <c r="B72" s="21" t="s">
        <v>19</v>
      </c>
      <c r="C72" s="40" t="s">
        <v>71</v>
      </c>
      <c r="D72" s="23">
        <f>671318+98870+58612.23</f>
        <v>828800.23</v>
      </c>
      <c r="E72" s="23">
        <v>669663.51</v>
      </c>
      <c r="F72" s="23">
        <v>89054.66</v>
      </c>
      <c r="G72" s="23">
        <v>58453.99</v>
      </c>
      <c r="H72" s="2">
        <f t="shared" si="0"/>
        <v>817172.16</v>
      </c>
      <c r="I72" s="89">
        <f t="shared" si="1"/>
        <v>98.5969996654079</v>
      </c>
      <c r="J72" s="24"/>
      <c r="K72" s="14"/>
    </row>
    <row r="73" spans="2:11" ht="18">
      <c r="B73" s="21" t="s">
        <v>20</v>
      </c>
      <c r="C73" s="40" t="s">
        <v>72</v>
      </c>
      <c r="D73" s="23">
        <v>200696</v>
      </c>
      <c r="E73" s="23">
        <v>200563.77</v>
      </c>
      <c r="F73" s="23"/>
      <c r="G73" s="23"/>
      <c r="H73" s="2">
        <f t="shared" si="0"/>
        <v>200563.77</v>
      </c>
      <c r="I73" s="89">
        <f t="shared" si="1"/>
        <v>99.9341142822976</v>
      </c>
      <c r="J73" s="24"/>
      <c r="K73" s="14"/>
    </row>
    <row r="74" spans="2:11" ht="18">
      <c r="B74" s="21" t="s">
        <v>21</v>
      </c>
      <c r="C74" s="40" t="s">
        <v>73</v>
      </c>
      <c r="D74" s="23">
        <f>115000+1132.88</f>
        <v>116132.88</v>
      </c>
      <c r="E74" s="23">
        <v>0</v>
      </c>
      <c r="F74" s="23">
        <v>104394.1</v>
      </c>
      <c r="G74" s="23">
        <v>1054.69</v>
      </c>
      <c r="H74" s="2">
        <f aca="true" t="shared" si="2" ref="H74:H137">E74+F74+G74</f>
        <v>105448.79000000001</v>
      </c>
      <c r="I74" s="89">
        <f t="shared" si="1"/>
        <v>90.80011621170507</v>
      </c>
      <c r="J74" s="24"/>
      <c r="K74" s="14"/>
    </row>
    <row r="75" spans="2:11" ht="18">
      <c r="B75" s="21" t="s">
        <v>22</v>
      </c>
      <c r="C75" s="80" t="s">
        <v>74</v>
      </c>
      <c r="D75" s="23">
        <f>2687569+1232433+277536.39</f>
        <v>4197538.39</v>
      </c>
      <c r="E75" s="23">
        <v>2589261.25</v>
      </c>
      <c r="F75" s="23">
        <v>661863.91</v>
      </c>
      <c r="G75" s="23">
        <v>214602.1</v>
      </c>
      <c r="H75" s="2">
        <f t="shared" si="2"/>
        <v>3465727.2600000002</v>
      </c>
      <c r="I75" s="89">
        <f aca="true" t="shared" si="3" ref="I75:I138">H75/D75*100</f>
        <v>82.56570727873678</v>
      </c>
      <c r="J75" s="24"/>
      <c r="K75" s="14"/>
    </row>
    <row r="76" spans="2:11" s="8" customFormat="1" ht="18">
      <c r="B76" s="19">
        <v>12</v>
      </c>
      <c r="C76" s="78" t="s">
        <v>100</v>
      </c>
      <c r="D76" s="20">
        <f>D77+D78+D79+D80+D81</f>
        <v>7960612.29</v>
      </c>
      <c r="E76" s="20">
        <f>E77+E78+E79+E80++E81</f>
        <v>7012342.4399999995</v>
      </c>
      <c r="F76" s="20">
        <f>F77+F78+F79+F80+F81</f>
        <v>542595.79</v>
      </c>
      <c r="G76" s="20">
        <f>G77+G78+G79+G80+G81</f>
        <v>100354.87999999999</v>
      </c>
      <c r="H76" s="20">
        <f t="shared" si="2"/>
        <v>7655293.109999999</v>
      </c>
      <c r="I76" s="88">
        <f t="shared" si="3"/>
        <v>96.16462692972074</v>
      </c>
      <c r="J76" s="72" t="s">
        <v>29</v>
      </c>
      <c r="K76" s="14"/>
    </row>
    <row r="77" spans="2:11" ht="18">
      <c r="B77" s="21" t="s">
        <v>18</v>
      </c>
      <c r="C77" s="40" t="s">
        <v>70</v>
      </c>
      <c r="D77" s="23">
        <f>4400146.12+17903+6511.84</f>
        <v>4424560.96</v>
      </c>
      <c r="E77" s="23">
        <v>4370010.67</v>
      </c>
      <c r="F77" s="23">
        <v>17902.32</v>
      </c>
      <c r="G77" s="23">
        <v>6511.84</v>
      </c>
      <c r="H77" s="2">
        <f t="shared" si="2"/>
        <v>4394424.83</v>
      </c>
      <c r="I77" s="89">
        <f t="shared" si="3"/>
        <v>99.31888993569207</v>
      </c>
      <c r="J77" s="24"/>
      <c r="K77" s="15"/>
    </row>
    <row r="78" spans="2:11" ht="18">
      <c r="B78" s="21" t="s">
        <v>19</v>
      </c>
      <c r="C78" s="40" t="s">
        <v>71</v>
      </c>
      <c r="D78" s="23">
        <f>541985+125746</f>
        <v>667731</v>
      </c>
      <c r="E78" s="23">
        <v>537953.1</v>
      </c>
      <c r="F78" s="23">
        <v>119083.9</v>
      </c>
      <c r="G78" s="22"/>
      <c r="H78" s="2">
        <f t="shared" si="2"/>
        <v>657037</v>
      </c>
      <c r="I78" s="89">
        <f t="shared" si="3"/>
        <v>98.39845686361724</v>
      </c>
      <c r="J78" s="24"/>
      <c r="K78" s="14"/>
    </row>
    <row r="79" spans="2:11" ht="18">
      <c r="B79" s="21" t="s">
        <v>20</v>
      </c>
      <c r="C79" s="40" t="s">
        <v>72</v>
      </c>
      <c r="D79" s="23">
        <v>156064</v>
      </c>
      <c r="E79" s="23">
        <v>155671.65</v>
      </c>
      <c r="F79" s="23"/>
      <c r="G79" s="23"/>
      <c r="H79" s="2">
        <f t="shared" si="2"/>
        <v>155671.65</v>
      </c>
      <c r="I79" s="89">
        <f t="shared" si="3"/>
        <v>99.74859672954685</v>
      </c>
      <c r="J79" s="24"/>
      <c r="K79" s="14"/>
    </row>
    <row r="80" spans="2:11" ht="18">
      <c r="B80" s="21" t="s">
        <v>21</v>
      </c>
      <c r="C80" s="40" t="s">
        <v>73</v>
      </c>
      <c r="D80" s="23">
        <v>60000</v>
      </c>
      <c r="E80" s="23">
        <v>0</v>
      </c>
      <c r="F80" s="23">
        <v>60000</v>
      </c>
      <c r="G80" s="23"/>
      <c r="H80" s="2">
        <f t="shared" si="2"/>
        <v>60000</v>
      </c>
      <c r="I80" s="89">
        <f t="shared" si="3"/>
        <v>100</v>
      </c>
      <c r="J80" s="24"/>
      <c r="K80" s="14"/>
    </row>
    <row r="81" spans="2:11" ht="18">
      <c r="B81" s="21" t="s">
        <v>22</v>
      </c>
      <c r="C81" s="80" t="s">
        <v>74</v>
      </c>
      <c r="D81" s="23">
        <f>1953164+605024+94068.33</f>
        <v>2652256.33</v>
      </c>
      <c r="E81" s="23">
        <v>1948707.02</v>
      </c>
      <c r="F81" s="23">
        <v>345609.57</v>
      </c>
      <c r="G81" s="23">
        <v>93843.04</v>
      </c>
      <c r="H81" s="2">
        <f t="shared" si="2"/>
        <v>2388159.63</v>
      </c>
      <c r="I81" s="89">
        <f t="shared" si="3"/>
        <v>90.04256500351156</v>
      </c>
      <c r="J81" s="24"/>
      <c r="K81" s="14"/>
    </row>
    <row r="82" spans="2:11" s="8" customFormat="1" ht="18">
      <c r="B82" s="19">
        <v>13</v>
      </c>
      <c r="C82" s="78" t="s">
        <v>99</v>
      </c>
      <c r="D82" s="20">
        <f>D83+D84+D85+D86+D87</f>
        <v>6063098.14</v>
      </c>
      <c r="E82" s="20">
        <f>E83+E84+E85+E86+E87</f>
        <v>5208442.26</v>
      </c>
      <c r="F82" s="20">
        <f>F83+F84+F85+F86+F87</f>
        <v>168771.94</v>
      </c>
      <c r="G82" s="20">
        <f>G83+G84+G85+G86+G87</f>
        <v>346341.81</v>
      </c>
      <c r="H82" s="20">
        <f t="shared" si="2"/>
        <v>5723556.01</v>
      </c>
      <c r="I82" s="88">
        <f t="shared" si="3"/>
        <v>94.39985759491599</v>
      </c>
      <c r="J82" s="72" t="s">
        <v>8</v>
      </c>
      <c r="K82" s="14"/>
    </row>
    <row r="83" spans="2:11" ht="18">
      <c r="B83" s="21" t="s">
        <v>18</v>
      </c>
      <c r="C83" s="40" t="s">
        <v>70</v>
      </c>
      <c r="D83" s="23">
        <f>3038300.86+21486+5162</f>
        <v>3064948.86</v>
      </c>
      <c r="E83" s="23">
        <v>3038277.22</v>
      </c>
      <c r="F83" s="23">
        <v>18737.86</v>
      </c>
      <c r="G83" s="23">
        <v>5162</v>
      </c>
      <c r="H83" s="2">
        <f t="shared" si="2"/>
        <v>3062177.08</v>
      </c>
      <c r="I83" s="89">
        <f t="shared" si="3"/>
        <v>99.9095652121256</v>
      </c>
      <c r="J83" s="24"/>
      <c r="K83" s="15"/>
    </row>
    <row r="84" spans="2:11" ht="18">
      <c r="B84" s="21" t="s">
        <v>19</v>
      </c>
      <c r="C84" s="40" t="s">
        <v>71</v>
      </c>
      <c r="D84" s="23">
        <f>263560+94237</f>
        <v>357797</v>
      </c>
      <c r="E84" s="23">
        <v>262560.4</v>
      </c>
      <c r="F84" s="23"/>
      <c r="G84" s="23">
        <v>94088.49</v>
      </c>
      <c r="H84" s="2">
        <f t="shared" si="2"/>
        <v>356648.89</v>
      </c>
      <c r="I84" s="89">
        <f t="shared" si="3"/>
        <v>99.67911692943206</v>
      </c>
      <c r="J84" s="24"/>
      <c r="K84" s="14"/>
    </row>
    <row r="85" spans="2:11" ht="18">
      <c r="B85" s="21" t="s">
        <v>20</v>
      </c>
      <c r="C85" s="40" t="s">
        <v>72</v>
      </c>
      <c r="D85" s="23">
        <f>118581+14990+11714</f>
        <v>145285</v>
      </c>
      <c r="E85" s="23">
        <v>118523.25</v>
      </c>
      <c r="F85" s="23">
        <v>14990</v>
      </c>
      <c r="G85" s="23">
        <v>11665.7</v>
      </c>
      <c r="H85" s="2">
        <f t="shared" si="2"/>
        <v>145178.95</v>
      </c>
      <c r="I85" s="89">
        <f t="shared" si="3"/>
        <v>99.92700554083355</v>
      </c>
      <c r="J85" s="24"/>
      <c r="K85" s="14"/>
    </row>
    <row r="86" spans="2:11" ht="18">
      <c r="B86" s="21" t="s">
        <v>21</v>
      </c>
      <c r="C86" s="40" t="s">
        <v>73</v>
      </c>
      <c r="D86" s="23">
        <f>10000+100622.28</f>
        <v>110622.28</v>
      </c>
      <c r="E86" s="23">
        <v>0</v>
      </c>
      <c r="F86" s="23">
        <v>10000</v>
      </c>
      <c r="G86" s="23">
        <v>100600</v>
      </c>
      <c r="H86" s="2">
        <f t="shared" si="2"/>
        <v>110600</v>
      </c>
      <c r="I86" s="89">
        <f t="shared" si="3"/>
        <v>99.97985939179702</v>
      </c>
      <c r="J86" s="24"/>
      <c r="K86" s="14"/>
    </row>
    <row r="87" spans="2:11" ht="18">
      <c r="B87" s="21" t="s">
        <v>22</v>
      </c>
      <c r="C87" s="80" t="s">
        <v>74</v>
      </c>
      <c r="D87" s="23">
        <f>1795167+454165+135113</f>
        <v>2384445</v>
      </c>
      <c r="E87" s="23">
        <v>1789081.39</v>
      </c>
      <c r="F87" s="23">
        <v>125044.08</v>
      </c>
      <c r="G87" s="23">
        <v>134825.62</v>
      </c>
      <c r="H87" s="2">
        <f t="shared" si="2"/>
        <v>2048951.0899999999</v>
      </c>
      <c r="I87" s="89">
        <f t="shared" si="3"/>
        <v>85.92989521670661</v>
      </c>
      <c r="J87" s="24"/>
      <c r="K87" s="14"/>
    </row>
    <row r="88" spans="2:11" s="8" customFormat="1" ht="18">
      <c r="B88" s="19">
        <v>14</v>
      </c>
      <c r="C88" s="78" t="s">
        <v>98</v>
      </c>
      <c r="D88" s="20">
        <f>D89+D90+D91+D92+D93</f>
        <v>15553926.64</v>
      </c>
      <c r="E88" s="20">
        <f>E89+E90+E91+E92+E93</f>
        <v>12659153.89</v>
      </c>
      <c r="F88" s="20">
        <f>F89+F90+F91+F92+F93</f>
        <v>2011340.9</v>
      </c>
      <c r="G88" s="20">
        <f>G89+G90+G91+G92+G93</f>
        <v>217418.04</v>
      </c>
      <c r="H88" s="20">
        <f t="shared" si="2"/>
        <v>14887912.83</v>
      </c>
      <c r="I88" s="88">
        <f t="shared" si="3"/>
        <v>95.71803425967553</v>
      </c>
      <c r="J88" s="72" t="s">
        <v>28</v>
      </c>
      <c r="K88" s="18"/>
    </row>
    <row r="89" spans="2:11" ht="18">
      <c r="B89" s="21" t="s">
        <v>18</v>
      </c>
      <c r="C89" s="40" t="s">
        <v>70</v>
      </c>
      <c r="D89" s="23">
        <f>7676112+24000</f>
        <v>7700112</v>
      </c>
      <c r="E89" s="37">
        <v>7676036.74</v>
      </c>
      <c r="F89" s="37">
        <v>12184.72</v>
      </c>
      <c r="G89" s="42"/>
      <c r="H89" s="2">
        <f t="shared" si="2"/>
        <v>7688221.46</v>
      </c>
      <c r="I89" s="89">
        <f t="shared" si="3"/>
        <v>99.8455796487116</v>
      </c>
      <c r="J89" s="24"/>
      <c r="K89" s="15"/>
    </row>
    <row r="90" spans="2:11" ht="18">
      <c r="B90" s="21" t="s">
        <v>19</v>
      </c>
      <c r="C90" s="40" t="s">
        <v>71</v>
      </c>
      <c r="D90" s="23">
        <f>1117959+138000+35104.18</f>
        <v>1291063.18</v>
      </c>
      <c r="E90" s="37">
        <v>1114741.08</v>
      </c>
      <c r="F90" s="37">
        <v>109606.86</v>
      </c>
      <c r="G90" s="37">
        <v>32665.47</v>
      </c>
      <c r="H90" s="2">
        <f t="shared" si="2"/>
        <v>1257013.4100000001</v>
      </c>
      <c r="I90" s="89">
        <f t="shared" si="3"/>
        <v>97.36265656650515</v>
      </c>
      <c r="J90" s="24"/>
      <c r="K90" s="14"/>
    </row>
    <row r="91" spans="2:11" ht="18">
      <c r="B91" s="21" t="s">
        <v>20</v>
      </c>
      <c r="C91" s="40" t="s">
        <v>72</v>
      </c>
      <c r="D91" s="23">
        <f>507690+16000+9000</f>
        <v>532690</v>
      </c>
      <c r="E91" s="37">
        <v>506556.2</v>
      </c>
      <c r="F91" s="37">
        <v>10427.05</v>
      </c>
      <c r="G91" s="37">
        <v>8887.54</v>
      </c>
      <c r="H91" s="2">
        <f t="shared" si="2"/>
        <v>525870.79</v>
      </c>
      <c r="I91" s="89">
        <f t="shared" si="3"/>
        <v>98.71985394882577</v>
      </c>
      <c r="J91" s="24"/>
      <c r="K91" s="14"/>
    </row>
    <row r="92" spans="2:11" ht="18">
      <c r="B92" s="21" t="s">
        <v>21</v>
      </c>
      <c r="C92" s="40" t="s">
        <v>73</v>
      </c>
      <c r="D92" s="23">
        <f>4507+300000+25000</f>
        <v>329507</v>
      </c>
      <c r="E92" s="37">
        <v>4506</v>
      </c>
      <c r="F92" s="37">
        <v>299945.49</v>
      </c>
      <c r="G92" s="37">
        <v>24900</v>
      </c>
      <c r="H92" s="2">
        <f t="shared" si="2"/>
        <v>329351.49</v>
      </c>
      <c r="I92" s="89">
        <f t="shared" si="3"/>
        <v>99.95280525148176</v>
      </c>
      <c r="J92" s="24"/>
      <c r="K92" s="14"/>
    </row>
    <row r="93" spans="2:11" ht="18">
      <c r="B93" s="21" t="s">
        <v>22</v>
      </c>
      <c r="C93" s="80" t="s">
        <v>74</v>
      </c>
      <c r="D93" s="23">
        <f>3358308+2116606+225640.46</f>
        <v>5700554.46</v>
      </c>
      <c r="E93" s="37">
        <v>3357313.87</v>
      </c>
      <c r="F93" s="37">
        <v>1579176.78</v>
      </c>
      <c r="G93" s="37">
        <v>150965.03</v>
      </c>
      <c r="H93" s="2">
        <f t="shared" si="2"/>
        <v>5087455.680000001</v>
      </c>
      <c r="I93" s="89">
        <f t="shared" si="3"/>
        <v>89.24492723818308</v>
      </c>
      <c r="J93" s="24"/>
      <c r="K93" s="14"/>
    </row>
    <row r="94" spans="2:11" s="8" customFormat="1" ht="18">
      <c r="B94" s="19">
        <v>15</v>
      </c>
      <c r="C94" s="79" t="s">
        <v>97</v>
      </c>
      <c r="D94" s="20">
        <f>D95+D96+D97+D98+D99</f>
        <v>6398129</v>
      </c>
      <c r="E94" s="20">
        <f>E95+E96+E97+E98+E99</f>
        <v>5315021.87</v>
      </c>
      <c r="F94" s="20">
        <f>F95+F96+F97+F98+F99</f>
        <v>546419.94</v>
      </c>
      <c r="G94" s="20">
        <f>G95+G96+G97+G98+G99</f>
        <v>281365.49</v>
      </c>
      <c r="H94" s="20">
        <f t="shared" si="2"/>
        <v>6142807.300000001</v>
      </c>
      <c r="I94" s="88">
        <f t="shared" si="3"/>
        <v>96.0094318198336</v>
      </c>
      <c r="J94" s="72" t="s">
        <v>9</v>
      </c>
      <c r="K94" s="14"/>
    </row>
    <row r="95" spans="2:11" ht="18">
      <c r="B95" s="21" t="s">
        <v>18</v>
      </c>
      <c r="C95" s="40" t="s">
        <v>70</v>
      </c>
      <c r="D95" s="37">
        <f>3268409+26000+21326</f>
        <v>3315735</v>
      </c>
      <c r="E95" s="37">
        <v>3263741.15</v>
      </c>
      <c r="F95" s="37">
        <v>21318.46</v>
      </c>
      <c r="G95" s="37">
        <v>20549.89</v>
      </c>
      <c r="H95" s="2">
        <f t="shared" si="2"/>
        <v>3305609.5</v>
      </c>
      <c r="I95" s="89">
        <f t="shared" si="3"/>
        <v>99.694622760866</v>
      </c>
      <c r="J95" s="38"/>
      <c r="K95" s="15"/>
    </row>
    <row r="96" spans="2:11" ht="18">
      <c r="B96" s="21" t="s">
        <v>19</v>
      </c>
      <c r="C96" s="40" t="s">
        <v>71</v>
      </c>
      <c r="D96" s="37">
        <f>472428+75000+132449</f>
        <v>679877</v>
      </c>
      <c r="E96" s="37">
        <v>466139.2</v>
      </c>
      <c r="F96" s="37">
        <v>42653.3</v>
      </c>
      <c r="G96" s="37">
        <v>129491.35</v>
      </c>
      <c r="H96" s="2">
        <f t="shared" si="2"/>
        <v>638283.85</v>
      </c>
      <c r="I96" s="89">
        <f t="shared" si="3"/>
        <v>93.88225370177253</v>
      </c>
      <c r="J96" s="38"/>
      <c r="K96" s="14"/>
    </row>
    <row r="97" spans="2:11" ht="18">
      <c r="B97" s="21" t="s">
        <v>20</v>
      </c>
      <c r="C97" s="40" t="s">
        <v>72</v>
      </c>
      <c r="D97" s="37">
        <f>129968+23687</f>
        <v>153655</v>
      </c>
      <c r="E97" s="37">
        <v>126043.04</v>
      </c>
      <c r="F97" s="37"/>
      <c r="G97" s="37">
        <v>19898.46</v>
      </c>
      <c r="H97" s="2">
        <f t="shared" si="2"/>
        <v>145941.5</v>
      </c>
      <c r="I97" s="89">
        <f t="shared" si="3"/>
        <v>94.97998763463603</v>
      </c>
      <c r="J97" s="38"/>
      <c r="K97" s="14"/>
    </row>
    <row r="98" spans="2:11" ht="18">
      <c r="B98" s="21" t="s">
        <v>21</v>
      </c>
      <c r="C98" s="40" t="s">
        <v>73</v>
      </c>
      <c r="D98" s="37">
        <f>91000+29700</f>
        <v>120700</v>
      </c>
      <c r="E98" s="37">
        <v>0</v>
      </c>
      <c r="F98" s="37">
        <v>80062</v>
      </c>
      <c r="G98" s="37">
        <v>29700</v>
      </c>
      <c r="H98" s="2">
        <f t="shared" si="2"/>
        <v>109762</v>
      </c>
      <c r="I98" s="89">
        <f t="shared" si="3"/>
        <v>90.93786246893123</v>
      </c>
      <c r="J98" s="38"/>
      <c r="K98" s="14"/>
    </row>
    <row r="99" spans="2:11" ht="18">
      <c r="B99" s="21" t="s">
        <v>22</v>
      </c>
      <c r="C99" s="80" t="s">
        <v>74</v>
      </c>
      <c r="D99" s="37">
        <f>1497716+548670+81776</f>
        <v>2128162</v>
      </c>
      <c r="E99" s="37">
        <v>1459098.48</v>
      </c>
      <c r="F99" s="37">
        <v>402386.18</v>
      </c>
      <c r="G99" s="37">
        <v>81725.79</v>
      </c>
      <c r="H99" s="2">
        <f t="shared" si="2"/>
        <v>1943210.45</v>
      </c>
      <c r="I99" s="89">
        <f t="shared" si="3"/>
        <v>91.30932936496376</v>
      </c>
      <c r="J99" s="38"/>
      <c r="K99" s="14"/>
    </row>
    <row r="100" spans="2:11" s="8" customFormat="1" ht="18">
      <c r="B100" s="19">
        <v>16</v>
      </c>
      <c r="C100" s="78" t="s">
        <v>96</v>
      </c>
      <c r="D100" s="20">
        <f>D101+D102+D103+D104+D105</f>
        <v>6454200.75</v>
      </c>
      <c r="E100" s="20">
        <f>E101+E102+E103+E104+E105</f>
        <v>5324287.14</v>
      </c>
      <c r="F100" s="20">
        <f>F101+F102+F103+F104+F105</f>
        <v>596937.62</v>
      </c>
      <c r="G100" s="20">
        <f>G101+G102+G103+G104+G105</f>
        <v>230102.71</v>
      </c>
      <c r="H100" s="20">
        <f t="shared" si="2"/>
        <v>6151327.47</v>
      </c>
      <c r="I100" s="88">
        <f t="shared" si="3"/>
        <v>95.30734645959068</v>
      </c>
      <c r="J100" s="72" t="s">
        <v>27</v>
      </c>
      <c r="K100" s="14"/>
    </row>
    <row r="101" spans="2:11" ht="18">
      <c r="B101" s="21" t="s">
        <v>18</v>
      </c>
      <c r="C101" s="40" t="s">
        <v>70</v>
      </c>
      <c r="D101" s="37">
        <f>3328346+40000+3288.48</f>
        <v>3371634.48</v>
      </c>
      <c r="E101" s="37">
        <v>3328318.79</v>
      </c>
      <c r="F101" s="37">
        <v>23405.75</v>
      </c>
      <c r="G101" s="37">
        <v>3159.28</v>
      </c>
      <c r="H101" s="2">
        <f t="shared" si="2"/>
        <v>3354883.82</v>
      </c>
      <c r="I101" s="89">
        <f t="shared" si="3"/>
        <v>99.50318873236816</v>
      </c>
      <c r="J101" s="38"/>
      <c r="K101" s="14"/>
    </row>
    <row r="102" spans="2:11" ht="18">
      <c r="B102" s="21" t="s">
        <v>19</v>
      </c>
      <c r="C102" s="40" t="s">
        <v>71</v>
      </c>
      <c r="D102" s="37">
        <f>398568+82920+50973.99</f>
        <v>532461.99</v>
      </c>
      <c r="E102" s="37">
        <v>395263.52</v>
      </c>
      <c r="F102" s="37">
        <v>71536.86</v>
      </c>
      <c r="G102" s="37">
        <v>50571.97</v>
      </c>
      <c r="H102" s="2">
        <f t="shared" si="2"/>
        <v>517372.35</v>
      </c>
      <c r="I102" s="89">
        <f t="shared" si="3"/>
        <v>97.16606250147547</v>
      </c>
      <c r="J102" s="38"/>
      <c r="K102" s="14"/>
    </row>
    <row r="103" spans="2:11" ht="18">
      <c r="B103" s="21" t="s">
        <v>20</v>
      </c>
      <c r="C103" s="40" t="s">
        <v>72</v>
      </c>
      <c r="D103" s="37">
        <f>112413+20000</f>
        <v>132413</v>
      </c>
      <c r="E103" s="37">
        <v>111978.26</v>
      </c>
      <c r="F103" s="37">
        <v>19983.57</v>
      </c>
      <c r="G103" s="37"/>
      <c r="H103" s="2">
        <f t="shared" si="2"/>
        <v>131961.83</v>
      </c>
      <c r="I103" s="89">
        <f t="shared" si="3"/>
        <v>99.65927061542294</v>
      </c>
      <c r="J103" s="38"/>
      <c r="K103" s="14"/>
    </row>
    <row r="104" spans="2:11" ht="18">
      <c r="B104" s="21" t="s">
        <v>21</v>
      </c>
      <c r="C104" s="40" t="s">
        <v>73</v>
      </c>
      <c r="D104" s="37">
        <f>46000+9000+4154.38</f>
        <v>59154.38</v>
      </c>
      <c r="E104" s="37">
        <v>45981.86</v>
      </c>
      <c r="F104" s="37">
        <v>7499.8</v>
      </c>
      <c r="G104" s="37">
        <v>4141.99</v>
      </c>
      <c r="H104" s="2">
        <f t="shared" si="2"/>
        <v>57623.65</v>
      </c>
      <c r="I104" s="89">
        <f t="shared" si="3"/>
        <v>97.41231334011108</v>
      </c>
      <c r="J104" s="38"/>
      <c r="K104" s="14"/>
    </row>
    <row r="105" spans="2:11" ht="18">
      <c r="B105" s="21" t="s">
        <v>22</v>
      </c>
      <c r="C105" s="80" t="s">
        <v>74</v>
      </c>
      <c r="D105" s="37">
        <f>1443004+743244+172288.9</f>
        <v>2358536.9</v>
      </c>
      <c r="E105" s="37">
        <v>1442744.71</v>
      </c>
      <c r="F105" s="37">
        <v>474511.64</v>
      </c>
      <c r="G105" s="37">
        <v>172229.47</v>
      </c>
      <c r="H105" s="2">
        <f t="shared" si="2"/>
        <v>2089485.82</v>
      </c>
      <c r="I105" s="89">
        <f t="shared" si="3"/>
        <v>88.59245831600091</v>
      </c>
      <c r="J105" s="38"/>
      <c r="K105" s="14"/>
    </row>
    <row r="106" spans="2:11" s="8" customFormat="1" ht="18">
      <c r="B106" s="19">
        <v>17</v>
      </c>
      <c r="C106" s="79" t="s">
        <v>95</v>
      </c>
      <c r="D106" s="20">
        <f>D107+D108+D109+D110+D111</f>
        <v>16327187.120000001</v>
      </c>
      <c r="E106" s="20">
        <f>E107+E108+E109+E110+E111</f>
        <v>12481024.299999999</v>
      </c>
      <c r="F106" s="20">
        <f>F107+F108+F109+F110+F111</f>
        <v>1778509.2</v>
      </c>
      <c r="G106" s="20">
        <f>G107+G108+G109+G110+G111</f>
        <v>705885.59</v>
      </c>
      <c r="H106" s="20">
        <f t="shared" si="2"/>
        <v>14965419.089999998</v>
      </c>
      <c r="I106" s="88">
        <f t="shared" si="3"/>
        <v>91.65950619668035</v>
      </c>
      <c r="J106" s="72" t="s">
        <v>26</v>
      </c>
      <c r="K106" s="15"/>
    </row>
    <row r="107" spans="2:11" ht="18">
      <c r="B107" s="21" t="s">
        <v>18</v>
      </c>
      <c r="C107" s="40" t="s">
        <v>70</v>
      </c>
      <c r="D107" s="37">
        <f>8129704+116500+18683</f>
        <v>8264887</v>
      </c>
      <c r="E107" s="37">
        <v>8129648.55</v>
      </c>
      <c r="F107" s="37">
        <v>116264.44</v>
      </c>
      <c r="G107" s="37">
        <v>18683</v>
      </c>
      <c r="H107" s="2">
        <f t="shared" si="2"/>
        <v>8264595.99</v>
      </c>
      <c r="I107" s="89">
        <f t="shared" si="3"/>
        <v>99.99647895972443</v>
      </c>
      <c r="J107" s="38"/>
      <c r="K107" s="15"/>
    </row>
    <row r="108" spans="2:11" ht="18">
      <c r="B108" s="21" t="s">
        <v>19</v>
      </c>
      <c r="C108" s="40" t="s">
        <v>71</v>
      </c>
      <c r="D108" s="37">
        <f>861407+308047+79306.93</f>
        <v>1248760.93</v>
      </c>
      <c r="E108" s="37">
        <v>853971.32</v>
      </c>
      <c r="F108" s="37">
        <v>280545.82</v>
      </c>
      <c r="G108" s="37">
        <v>78000.06</v>
      </c>
      <c r="H108" s="2">
        <f t="shared" si="2"/>
        <v>1212517.2</v>
      </c>
      <c r="I108" s="89">
        <f t="shared" si="3"/>
        <v>97.09762460297344</v>
      </c>
      <c r="J108" s="38"/>
      <c r="K108" s="14"/>
    </row>
    <row r="109" spans="2:11" ht="18">
      <c r="B109" s="21" t="s">
        <v>20</v>
      </c>
      <c r="C109" s="40" t="s">
        <v>72</v>
      </c>
      <c r="D109" s="37">
        <f>496810+10000</f>
        <v>506810</v>
      </c>
      <c r="E109" s="37">
        <v>495775.94</v>
      </c>
      <c r="F109" s="37"/>
      <c r="G109" s="37">
        <v>9977.57</v>
      </c>
      <c r="H109" s="2">
        <f t="shared" si="2"/>
        <v>505753.51</v>
      </c>
      <c r="I109" s="89">
        <f t="shared" si="3"/>
        <v>99.791541208737</v>
      </c>
      <c r="J109" s="38"/>
      <c r="K109" s="14"/>
    </row>
    <row r="110" spans="2:11" ht="18">
      <c r="B110" s="21" t="s">
        <v>21</v>
      </c>
      <c r="C110" s="40" t="s">
        <v>73</v>
      </c>
      <c r="D110" s="37">
        <f>7148+280000+2873.16</f>
        <v>290021.16</v>
      </c>
      <c r="E110" s="37">
        <v>7148</v>
      </c>
      <c r="F110" s="37">
        <v>277419.48</v>
      </c>
      <c r="G110" s="37">
        <v>2800</v>
      </c>
      <c r="H110" s="2">
        <f t="shared" si="2"/>
        <v>287367.48</v>
      </c>
      <c r="I110" s="89">
        <f t="shared" si="3"/>
        <v>99.08500469414025</v>
      </c>
      <c r="J110" s="38"/>
      <c r="K110" s="14"/>
    </row>
    <row r="111" spans="2:11" ht="18">
      <c r="B111" s="21" t="s">
        <v>22</v>
      </c>
      <c r="C111" s="80" t="s">
        <v>74</v>
      </c>
      <c r="D111" s="37">
        <f>3004743.39+2357204+654760.64</f>
        <v>6016708.03</v>
      </c>
      <c r="E111" s="37">
        <v>2994480.49</v>
      </c>
      <c r="F111" s="37">
        <v>1104279.46</v>
      </c>
      <c r="G111" s="37">
        <v>596424.96</v>
      </c>
      <c r="H111" s="2">
        <f t="shared" si="2"/>
        <v>4695184.91</v>
      </c>
      <c r="I111" s="89">
        <f t="shared" si="3"/>
        <v>78.03577781386876</v>
      </c>
      <c r="J111" s="38"/>
      <c r="K111" s="14"/>
    </row>
    <row r="112" spans="2:11" s="8" customFormat="1" ht="18">
      <c r="B112" s="19">
        <v>18</v>
      </c>
      <c r="C112" s="78" t="s">
        <v>94</v>
      </c>
      <c r="D112" s="20">
        <f>D113+D114+D115+D116+D117</f>
        <v>2225936.5</v>
      </c>
      <c r="E112" s="20">
        <f>E113+E114+E115+E116+E117</f>
        <v>1880644.1700000002</v>
      </c>
      <c r="F112" s="20">
        <f>F113+F114+F115+F116+F117</f>
        <v>0</v>
      </c>
      <c r="G112" s="20"/>
      <c r="H112" s="20">
        <f t="shared" si="2"/>
        <v>1880644.1700000002</v>
      </c>
      <c r="I112" s="88">
        <f t="shared" si="3"/>
        <v>84.48777267455743</v>
      </c>
      <c r="J112" s="72" t="s">
        <v>10</v>
      </c>
      <c r="K112" s="15"/>
    </row>
    <row r="113" spans="2:11" ht="18">
      <c r="B113" s="21" t="s">
        <v>18</v>
      </c>
      <c r="C113" s="40" t="s">
        <v>70</v>
      </c>
      <c r="D113" s="37">
        <v>1247013</v>
      </c>
      <c r="E113" s="37">
        <v>1147701.12</v>
      </c>
      <c r="F113" s="37">
        <v>0</v>
      </c>
      <c r="G113" s="37"/>
      <c r="H113" s="2">
        <f t="shared" si="2"/>
        <v>1147701.12</v>
      </c>
      <c r="I113" s="89">
        <f t="shared" si="3"/>
        <v>92.03601887069341</v>
      </c>
      <c r="J113" s="38"/>
      <c r="K113" s="15"/>
    </row>
    <row r="114" spans="2:11" ht="18">
      <c r="B114" s="21" t="s">
        <v>19</v>
      </c>
      <c r="C114" s="40" t="s">
        <v>71</v>
      </c>
      <c r="D114" s="37">
        <f>240622+373.5</f>
        <v>240995.5</v>
      </c>
      <c r="E114" s="37">
        <v>30476.26</v>
      </c>
      <c r="F114" s="37">
        <v>0</v>
      </c>
      <c r="G114" s="37"/>
      <c r="H114" s="2">
        <f t="shared" si="2"/>
        <v>30476.26</v>
      </c>
      <c r="I114" s="89">
        <f t="shared" si="3"/>
        <v>12.645987165735459</v>
      </c>
      <c r="J114" s="38"/>
      <c r="K114" s="14"/>
    </row>
    <row r="115" spans="2:11" ht="18">
      <c r="B115" s="21" t="s">
        <v>20</v>
      </c>
      <c r="C115" s="40" t="s">
        <v>72</v>
      </c>
      <c r="D115" s="37">
        <v>24881</v>
      </c>
      <c r="E115" s="37">
        <v>0</v>
      </c>
      <c r="F115" s="37">
        <v>0</v>
      </c>
      <c r="G115" s="37"/>
      <c r="H115" s="2">
        <f t="shared" si="2"/>
        <v>0</v>
      </c>
      <c r="I115" s="89">
        <f t="shared" si="3"/>
        <v>0</v>
      </c>
      <c r="J115" s="38"/>
      <c r="K115" s="14"/>
    </row>
    <row r="116" spans="2:11" ht="18">
      <c r="B116" s="21" t="s">
        <v>21</v>
      </c>
      <c r="C116" s="40" t="s">
        <v>73</v>
      </c>
      <c r="D116" s="37">
        <v>7403</v>
      </c>
      <c r="E116" s="37">
        <v>0</v>
      </c>
      <c r="F116" s="37">
        <v>0</v>
      </c>
      <c r="G116" s="37"/>
      <c r="H116" s="2">
        <f t="shared" si="2"/>
        <v>0</v>
      </c>
      <c r="I116" s="89">
        <f t="shared" si="3"/>
        <v>0</v>
      </c>
      <c r="J116" s="38"/>
      <c r="K116" s="14"/>
    </row>
    <row r="117" spans="2:11" ht="18">
      <c r="B117" s="21" t="s">
        <v>22</v>
      </c>
      <c r="C117" s="80" t="s">
        <v>74</v>
      </c>
      <c r="D117" s="37">
        <v>705644</v>
      </c>
      <c r="E117" s="37">
        <v>702466.79</v>
      </c>
      <c r="F117" s="37">
        <v>0</v>
      </c>
      <c r="G117" s="37"/>
      <c r="H117" s="2">
        <f t="shared" si="2"/>
        <v>702466.79</v>
      </c>
      <c r="I117" s="89">
        <f t="shared" si="3"/>
        <v>99.54974321329169</v>
      </c>
      <c r="J117" s="38"/>
      <c r="K117" s="14"/>
    </row>
    <row r="118" spans="2:11" s="8" customFormat="1" ht="18">
      <c r="B118" s="19">
        <v>19</v>
      </c>
      <c r="C118" s="78" t="s">
        <v>93</v>
      </c>
      <c r="D118" s="20">
        <f>D119+D120+D121+D122+D123</f>
        <v>15295946.990000002</v>
      </c>
      <c r="E118" s="20">
        <f>E119+E120+E121+E122+E123</f>
        <v>13066822.009999998</v>
      </c>
      <c r="F118" s="20">
        <f>F119+F120+F121+F122+F123</f>
        <v>1433393.65</v>
      </c>
      <c r="G118" s="20">
        <f>G119+G120+G121+G122+G123</f>
        <v>419564.15</v>
      </c>
      <c r="H118" s="20">
        <f t="shared" si="2"/>
        <v>14919779.809999999</v>
      </c>
      <c r="I118" s="88">
        <f t="shared" si="3"/>
        <v>97.54073951586044</v>
      </c>
      <c r="J118" s="72" t="s">
        <v>25</v>
      </c>
      <c r="K118" s="14"/>
    </row>
    <row r="119" spans="2:11" ht="18">
      <c r="B119" s="21" t="s">
        <v>18</v>
      </c>
      <c r="C119" s="40" t="s">
        <v>70</v>
      </c>
      <c r="D119" s="37">
        <f>8043164+120000+48420.05</f>
        <v>8211584.05</v>
      </c>
      <c r="E119" s="37">
        <v>8043156.99</v>
      </c>
      <c r="F119" s="37">
        <v>83990.82</v>
      </c>
      <c r="G119" s="37">
        <v>29539.48</v>
      </c>
      <c r="H119" s="2">
        <f t="shared" si="2"/>
        <v>8156687.290000001</v>
      </c>
      <c r="I119" s="89">
        <f t="shared" si="3"/>
        <v>99.33147173960913</v>
      </c>
      <c r="J119" s="29"/>
      <c r="K119" s="15"/>
    </row>
    <row r="120" spans="2:11" ht="18">
      <c r="B120" s="30" t="s">
        <v>19</v>
      </c>
      <c r="C120" s="40" t="s">
        <v>71</v>
      </c>
      <c r="D120" s="37">
        <f>811690+282900+100022</f>
        <v>1194612</v>
      </c>
      <c r="E120" s="37">
        <v>805625.92</v>
      </c>
      <c r="F120" s="37">
        <v>241425.09</v>
      </c>
      <c r="G120" s="37">
        <v>99999.38</v>
      </c>
      <c r="H120" s="2">
        <f t="shared" si="2"/>
        <v>1147050.3900000001</v>
      </c>
      <c r="I120" s="89">
        <f t="shared" si="3"/>
        <v>96.01865626663721</v>
      </c>
      <c r="J120" s="38"/>
      <c r="K120" s="14"/>
    </row>
    <row r="121" spans="2:11" ht="18">
      <c r="B121" s="30" t="s">
        <v>20</v>
      </c>
      <c r="C121" s="40" t="s">
        <v>72</v>
      </c>
      <c r="D121" s="37">
        <f>378188+15000+8370.25</f>
        <v>401558.25</v>
      </c>
      <c r="E121" s="37">
        <v>377623.7</v>
      </c>
      <c r="F121" s="37">
        <v>8189.87</v>
      </c>
      <c r="G121" s="37">
        <v>8368.66</v>
      </c>
      <c r="H121" s="2">
        <f t="shared" si="2"/>
        <v>394182.23</v>
      </c>
      <c r="I121" s="89">
        <f t="shared" si="3"/>
        <v>98.16315067614723</v>
      </c>
      <c r="J121" s="38"/>
      <c r="K121" s="14"/>
    </row>
    <row r="122" spans="2:11" ht="18">
      <c r="B122" s="30" t="s">
        <v>21</v>
      </c>
      <c r="C122" s="40" t="s">
        <v>73</v>
      </c>
      <c r="D122" s="37">
        <f>230242+35000</f>
        <v>265242</v>
      </c>
      <c r="E122" s="37">
        <v>229844.87</v>
      </c>
      <c r="F122" s="37">
        <v>34999.86</v>
      </c>
      <c r="G122" s="37"/>
      <c r="H122" s="2">
        <f t="shared" si="2"/>
        <v>264844.73</v>
      </c>
      <c r="I122" s="89">
        <f t="shared" si="3"/>
        <v>99.85022356941961</v>
      </c>
      <c r="J122" s="38"/>
      <c r="K122" s="14"/>
    </row>
    <row r="123" spans="2:11" ht="18">
      <c r="B123" s="30" t="s">
        <v>22</v>
      </c>
      <c r="C123" s="80" t="s">
        <v>74</v>
      </c>
      <c r="D123" s="37">
        <f>3658927+1273906+290117.69</f>
        <v>5222950.69</v>
      </c>
      <c r="E123" s="37">
        <v>3610570.53</v>
      </c>
      <c r="F123" s="37">
        <v>1064788.01</v>
      </c>
      <c r="G123" s="37">
        <v>281656.63</v>
      </c>
      <c r="H123" s="2">
        <f t="shared" si="2"/>
        <v>4957015.17</v>
      </c>
      <c r="I123" s="89">
        <f t="shared" si="3"/>
        <v>94.90832795896068</v>
      </c>
      <c r="J123" s="38"/>
      <c r="K123" s="14"/>
    </row>
    <row r="124" spans="2:11" s="8" customFormat="1" ht="18">
      <c r="B124" s="19">
        <v>20</v>
      </c>
      <c r="C124" s="78" t="s">
        <v>92</v>
      </c>
      <c r="D124" s="20">
        <f>D125+D126+D127+D128+D129</f>
        <v>9424606.44</v>
      </c>
      <c r="E124" s="25">
        <f>E125+E126+E127+E128+E129</f>
        <v>8278077.039999999</v>
      </c>
      <c r="F124" s="25">
        <f>F125+F126+F127+F128+F129</f>
        <v>829226.8400000001</v>
      </c>
      <c r="G124" s="25">
        <f>G125+G126+G127+G128+G129</f>
        <v>153871.9</v>
      </c>
      <c r="H124" s="20">
        <f t="shared" si="2"/>
        <v>9261175.78</v>
      </c>
      <c r="I124" s="88">
        <f t="shared" si="3"/>
        <v>98.26591528208152</v>
      </c>
      <c r="J124" s="72" t="s">
        <v>11</v>
      </c>
      <c r="K124" s="14"/>
    </row>
    <row r="125" spans="2:11" ht="18">
      <c r="B125" s="21" t="s">
        <v>18</v>
      </c>
      <c r="C125" s="40" t="s">
        <v>70</v>
      </c>
      <c r="D125" s="37">
        <f>4466057.2+45627</f>
        <v>4511684.2</v>
      </c>
      <c r="E125" s="37">
        <v>4436709.5</v>
      </c>
      <c r="F125" s="37">
        <v>44295.24</v>
      </c>
      <c r="G125" s="37"/>
      <c r="H125" s="2">
        <f t="shared" si="2"/>
        <v>4481004.74</v>
      </c>
      <c r="I125" s="89">
        <f t="shared" si="3"/>
        <v>99.31999983509485</v>
      </c>
      <c r="J125" s="38"/>
      <c r="K125" s="15"/>
    </row>
    <row r="126" spans="2:11" ht="18">
      <c r="B126" s="21" t="s">
        <v>19</v>
      </c>
      <c r="C126" s="40" t="s">
        <v>71</v>
      </c>
      <c r="D126" s="37">
        <f>697245+79681+31129</f>
        <v>808055</v>
      </c>
      <c r="E126" s="37">
        <v>694570.38</v>
      </c>
      <c r="F126" s="37">
        <v>67383.89</v>
      </c>
      <c r="G126" s="37">
        <v>31075.71</v>
      </c>
      <c r="H126" s="2">
        <f t="shared" si="2"/>
        <v>793029.98</v>
      </c>
      <c r="I126" s="89">
        <f t="shared" si="3"/>
        <v>98.14059439023333</v>
      </c>
      <c r="J126" s="38"/>
      <c r="K126" s="14"/>
    </row>
    <row r="127" spans="2:11" ht="18">
      <c r="B127" s="21" t="s">
        <v>20</v>
      </c>
      <c r="C127" s="40" t="s">
        <v>72</v>
      </c>
      <c r="D127" s="37">
        <v>157196</v>
      </c>
      <c r="E127" s="37">
        <v>153857.38</v>
      </c>
      <c r="F127" s="37"/>
      <c r="G127" s="37"/>
      <c r="H127" s="2">
        <f t="shared" si="2"/>
        <v>153857.38</v>
      </c>
      <c r="I127" s="89">
        <f t="shared" si="3"/>
        <v>97.87614188656201</v>
      </c>
      <c r="J127" s="38"/>
      <c r="K127" s="14"/>
    </row>
    <row r="128" spans="2:11" ht="18">
      <c r="B128" s="21" t="s">
        <v>21</v>
      </c>
      <c r="C128" s="40" t="s">
        <v>73</v>
      </c>
      <c r="D128" s="37">
        <f>116280+321.68</f>
        <v>116601.68</v>
      </c>
      <c r="E128" s="37">
        <v>0</v>
      </c>
      <c r="F128" s="37">
        <v>115902.8</v>
      </c>
      <c r="G128" s="37"/>
      <c r="H128" s="2">
        <f t="shared" si="2"/>
        <v>115902.8</v>
      </c>
      <c r="I128" s="89">
        <f t="shared" si="3"/>
        <v>99.40062613163036</v>
      </c>
      <c r="J128" s="38"/>
      <c r="K128" s="14"/>
    </row>
    <row r="129" spans="2:11" ht="18">
      <c r="B129" s="21" t="s">
        <v>22</v>
      </c>
      <c r="C129" s="80" t="s">
        <v>74</v>
      </c>
      <c r="D129" s="37">
        <f>2999861+708412+122796.56</f>
        <v>3831069.56</v>
      </c>
      <c r="E129" s="37">
        <v>2992939.78</v>
      </c>
      <c r="F129" s="37">
        <v>601644.91</v>
      </c>
      <c r="G129" s="37">
        <v>122796.19</v>
      </c>
      <c r="H129" s="2">
        <f t="shared" si="2"/>
        <v>3717380.88</v>
      </c>
      <c r="I129" s="89">
        <f t="shared" si="3"/>
        <v>97.03245586592794</v>
      </c>
      <c r="J129" s="38"/>
      <c r="K129" s="14"/>
    </row>
    <row r="130" spans="2:11" s="8" customFormat="1" ht="18">
      <c r="B130" s="19">
        <v>21</v>
      </c>
      <c r="C130" s="78" t="s">
        <v>91</v>
      </c>
      <c r="D130" s="20">
        <f>D131+D132+D133+D134+D135</f>
        <v>10667844.27</v>
      </c>
      <c r="E130" s="20">
        <f>E131+E132+E133+E134++E135</f>
        <v>8793599.370000001</v>
      </c>
      <c r="F130" s="20">
        <f>F131+F132+F133+F134+F135</f>
        <v>776616.35</v>
      </c>
      <c r="G130" s="20">
        <f>G131+G132+G133+G134+G135</f>
        <v>309897.91</v>
      </c>
      <c r="H130" s="20">
        <f t="shared" si="2"/>
        <v>9880113.63</v>
      </c>
      <c r="I130" s="88">
        <f t="shared" si="3"/>
        <v>92.6158404635204</v>
      </c>
      <c r="J130" s="72" t="s">
        <v>12</v>
      </c>
      <c r="K130" s="14"/>
    </row>
    <row r="131" spans="2:11" ht="18">
      <c r="B131" s="21" t="s">
        <v>18</v>
      </c>
      <c r="C131" s="40" t="s">
        <v>70</v>
      </c>
      <c r="D131" s="37">
        <f>5445231+25750+76584.25</f>
        <v>5547565.25</v>
      </c>
      <c r="E131" s="37">
        <v>5428523.24</v>
      </c>
      <c r="F131" s="37">
        <v>1788.51</v>
      </c>
      <c r="G131" s="37">
        <v>69845.55</v>
      </c>
      <c r="H131" s="2">
        <f t="shared" si="2"/>
        <v>5500157.3</v>
      </c>
      <c r="I131" s="89">
        <f t="shared" si="3"/>
        <v>99.14542780727095</v>
      </c>
      <c r="J131" s="38"/>
      <c r="K131" s="15"/>
    </row>
    <row r="132" spans="2:11" ht="18">
      <c r="B132" s="21" t="s">
        <v>19</v>
      </c>
      <c r="C132" s="40" t="s">
        <v>71</v>
      </c>
      <c r="D132" s="37">
        <f>758018+160000</f>
        <v>918018</v>
      </c>
      <c r="E132" s="37">
        <v>752416.83</v>
      </c>
      <c r="F132" s="37">
        <v>122535.86</v>
      </c>
      <c r="G132" s="37"/>
      <c r="H132" s="2">
        <f t="shared" si="2"/>
        <v>874952.69</v>
      </c>
      <c r="I132" s="89">
        <f t="shared" si="3"/>
        <v>95.3088817430595</v>
      </c>
      <c r="J132" s="38"/>
      <c r="K132" s="15"/>
    </row>
    <row r="133" spans="2:11" ht="18">
      <c r="B133" s="21" t="s">
        <v>20</v>
      </c>
      <c r="C133" s="40" t="s">
        <v>72</v>
      </c>
      <c r="D133" s="37">
        <f>223210+10000+5000</f>
        <v>238210</v>
      </c>
      <c r="E133" s="37">
        <v>223058.96</v>
      </c>
      <c r="F133" s="37"/>
      <c r="G133" s="37">
        <v>4961.56</v>
      </c>
      <c r="H133" s="2">
        <f t="shared" si="2"/>
        <v>228020.52</v>
      </c>
      <c r="I133" s="89">
        <f t="shared" si="3"/>
        <v>95.72248016456068</v>
      </c>
      <c r="J133" s="38"/>
      <c r="K133" s="14"/>
    </row>
    <row r="134" spans="2:11" ht="18">
      <c r="B134" s="21" t="s">
        <v>21</v>
      </c>
      <c r="C134" s="40" t="s">
        <v>73</v>
      </c>
      <c r="D134" s="37">
        <f>50000+105000+1010</f>
        <v>156010</v>
      </c>
      <c r="E134" s="37">
        <v>49996.55</v>
      </c>
      <c r="F134" s="37">
        <v>104825.88</v>
      </c>
      <c r="G134" s="37">
        <v>1000</v>
      </c>
      <c r="H134" s="2">
        <f t="shared" si="2"/>
        <v>155822.43</v>
      </c>
      <c r="I134" s="89">
        <f t="shared" si="3"/>
        <v>99.87977052753028</v>
      </c>
      <c r="J134" s="38"/>
      <c r="K134" s="14"/>
    </row>
    <row r="135" spans="2:11" ht="18">
      <c r="B135" s="21" t="s">
        <v>22</v>
      </c>
      <c r="C135" s="80" t="s">
        <v>74</v>
      </c>
      <c r="D135" s="37">
        <f>2345776+1227088+235177.02</f>
        <v>3808041.02</v>
      </c>
      <c r="E135" s="37">
        <v>2339603.79</v>
      </c>
      <c r="F135" s="37">
        <v>547466.1</v>
      </c>
      <c r="G135" s="37">
        <v>234090.8</v>
      </c>
      <c r="H135" s="2">
        <f t="shared" si="2"/>
        <v>3121160.69</v>
      </c>
      <c r="I135" s="89">
        <f t="shared" si="3"/>
        <v>81.96237051038909</v>
      </c>
      <c r="J135" s="38"/>
      <c r="K135" s="14"/>
    </row>
    <row r="136" spans="2:11" s="8" customFormat="1" ht="18">
      <c r="B136" s="19">
        <v>22</v>
      </c>
      <c r="C136" s="78" t="s">
        <v>13</v>
      </c>
      <c r="D136" s="20">
        <f>D137+D138+D139+D140+D141</f>
        <v>1657130.43</v>
      </c>
      <c r="E136" s="20">
        <f>E137+E138+E139+E140+E141</f>
        <v>1539262.1400000001</v>
      </c>
      <c r="F136" s="20"/>
      <c r="G136" s="20"/>
      <c r="H136" s="20">
        <f t="shared" si="2"/>
        <v>1539262.1400000001</v>
      </c>
      <c r="I136" s="88">
        <f t="shared" si="3"/>
        <v>92.88720502223836</v>
      </c>
      <c r="J136" s="72" t="s">
        <v>13</v>
      </c>
      <c r="K136" s="14"/>
    </row>
    <row r="137" spans="2:11" ht="18">
      <c r="B137" s="21" t="s">
        <v>18</v>
      </c>
      <c r="C137" s="40" t="s">
        <v>70</v>
      </c>
      <c r="D137" s="37">
        <v>915991</v>
      </c>
      <c r="E137" s="37">
        <v>835240.71</v>
      </c>
      <c r="F137" s="37"/>
      <c r="G137" s="37"/>
      <c r="H137" s="2">
        <f t="shared" si="2"/>
        <v>835240.71</v>
      </c>
      <c r="I137" s="89">
        <f t="shared" si="3"/>
        <v>91.18437954084702</v>
      </c>
      <c r="J137" s="38"/>
      <c r="K137" s="14"/>
    </row>
    <row r="138" spans="2:11" ht="18">
      <c r="B138" s="21" t="s">
        <v>19</v>
      </c>
      <c r="C138" s="40" t="s">
        <v>71</v>
      </c>
      <c r="D138" s="37">
        <f>81188+79.43</f>
        <v>81267.43</v>
      </c>
      <c r="E138" s="37">
        <v>63950.43</v>
      </c>
      <c r="F138" s="37"/>
      <c r="G138" s="37"/>
      <c r="H138" s="2">
        <f aca="true" t="shared" si="4" ref="H138:H201">E138+F138+G138</f>
        <v>63950.43</v>
      </c>
      <c r="I138" s="89">
        <f t="shared" si="3"/>
        <v>78.6913404299853</v>
      </c>
      <c r="J138" s="38"/>
      <c r="K138" s="14"/>
    </row>
    <row r="139" spans="2:11" ht="18">
      <c r="B139" s="21" t="s">
        <v>20</v>
      </c>
      <c r="C139" s="40" t="s">
        <v>72</v>
      </c>
      <c r="D139" s="37">
        <v>10696</v>
      </c>
      <c r="E139" s="37">
        <v>2603.5</v>
      </c>
      <c r="F139" s="37"/>
      <c r="G139" s="37"/>
      <c r="H139" s="2">
        <f t="shared" si="4"/>
        <v>2603.5</v>
      </c>
      <c r="I139" s="89">
        <f aca="true" t="shared" si="5" ref="I139:I202">H139/D139*100</f>
        <v>24.340875093492894</v>
      </c>
      <c r="J139" s="38"/>
      <c r="K139" s="14"/>
    </row>
    <row r="140" spans="2:11" ht="18">
      <c r="B140" s="21" t="s">
        <v>21</v>
      </c>
      <c r="C140" s="40" t="s">
        <v>73</v>
      </c>
      <c r="D140" s="37">
        <v>7614</v>
      </c>
      <c r="E140" s="37">
        <v>0</v>
      </c>
      <c r="F140" s="37"/>
      <c r="G140" s="37"/>
      <c r="H140" s="2">
        <f t="shared" si="4"/>
        <v>0</v>
      </c>
      <c r="I140" s="89">
        <f t="shared" si="5"/>
        <v>0</v>
      </c>
      <c r="J140" s="38"/>
      <c r="K140" s="14"/>
    </row>
    <row r="141" spans="2:11" ht="18">
      <c r="B141" s="21" t="s">
        <v>22</v>
      </c>
      <c r="C141" s="80" t="s">
        <v>74</v>
      </c>
      <c r="D141" s="37">
        <v>641562</v>
      </c>
      <c r="E141" s="37">
        <v>637467.5</v>
      </c>
      <c r="F141" s="37"/>
      <c r="G141" s="37"/>
      <c r="H141" s="2">
        <f t="shared" si="4"/>
        <v>637467.5</v>
      </c>
      <c r="I141" s="89">
        <f t="shared" si="5"/>
        <v>99.3617920013966</v>
      </c>
      <c r="J141" s="38"/>
      <c r="K141" s="14"/>
    </row>
    <row r="142" spans="2:11" s="8" customFormat="1" ht="18">
      <c r="B142" s="19">
        <v>23</v>
      </c>
      <c r="C142" s="78" t="s">
        <v>90</v>
      </c>
      <c r="D142" s="20">
        <f>D143+D144+D145+D146+D147</f>
        <v>1525896.08</v>
      </c>
      <c r="E142" s="20">
        <f>E143+E144+E145+E146+E147</f>
        <v>1329967.47</v>
      </c>
      <c r="F142" s="20"/>
      <c r="G142" s="20"/>
      <c r="H142" s="20">
        <f t="shared" si="4"/>
        <v>1329967.47</v>
      </c>
      <c r="I142" s="88">
        <f t="shared" si="5"/>
        <v>87.15976713171712</v>
      </c>
      <c r="J142" s="72" t="s">
        <v>35</v>
      </c>
      <c r="K142" s="14"/>
    </row>
    <row r="143" spans="2:11" ht="18">
      <c r="B143" s="21" t="s">
        <v>18</v>
      </c>
      <c r="C143" s="40" t="s">
        <v>70</v>
      </c>
      <c r="D143" s="37">
        <v>726318</v>
      </c>
      <c r="E143" s="37">
        <v>615301.29</v>
      </c>
      <c r="F143" s="37"/>
      <c r="G143" s="37"/>
      <c r="H143" s="2">
        <f t="shared" si="4"/>
        <v>615301.29</v>
      </c>
      <c r="I143" s="89">
        <f t="shared" si="5"/>
        <v>84.71513717132166</v>
      </c>
      <c r="J143" s="24"/>
      <c r="K143" s="15"/>
    </row>
    <row r="144" spans="2:11" ht="18">
      <c r="B144" s="21" t="s">
        <v>19</v>
      </c>
      <c r="C144" s="40" t="s">
        <v>71</v>
      </c>
      <c r="D144" s="37">
        <f>122622+3991</f>
        <v>126613</v>
      </c>
      <c r="E144" s="37">
        <v>71637.95</v>
      </c>
      <c r="F144" s="37"/>
      <c r="G144" s="37"/>
      <c r="H144" s="2">
        <f t="shared" si="4"/>
        <v>71637.95</v>
      </c>
      <c r="I144" s="89">
        <f t="shared" si="5"/>
        <v>56.58024847369543</v>
      </c>
      <c r="J144" s="24"/>
      <c r="K144" s="14"/>
    </row>
    <row r="145" spans="2:11" ht="18">
      <c r="B145" s="21" t="s">
        <v>20</v>
      </c>
      <c r="C145" s="40" t="s">
        <v>72</v>
      </c>
      <c r="D145" s="37">
        <v>33200</v>
      </c>
      <c r="E145" s="37">
        <v>7870.63</v>
      </c>
      <c r="F145" s="37"/>
      <c r="G145" s="37"/>
      <c r="H145" s="2">
        <f t="shared" si="4"/>
        <v>7870.63</v>
      </c>
      <c r="I145" s="89">
        <f t="shared" si="5"/>
        <v>23.70671686746988</v>
      </c>
      <c r="J145" s="24"/>
      <c r="K145" s="14"/>
    </row>
    <row r="146" spans="2:11" ht="18">
      <c r="B146" s="21" t="s">
        <v>21</v>
      </c>
      <c r="C146" s="40" t="s">
        <v>73</v>
      </c>
      <c r="D146" s="37">
        <v>2949.08</v>
      </c>
      <c r="E146" s="37">
        <v>0</v>
      </c>
      <c r="F146" s="37"/>
      <c r="G146" s="37"/>
      <c r="H146" s="2">
        <f t="shared" si="4"/>
        <v>0</v>
      </c>
      <c r="I146" s="89">
        <f t="shared" si="5"/>
        <v>0</v>
      </c>
      <c r="J146" s="24"/>
      <c r="K146" s="14"/>
    </row>
    <row r="147" spans="2:12" ht="18">
      <c r="B147" s="21" t="s">
        <v>22</v>
      </c>
      <c r="C147" s="80" t="s">
        <v>74</v>
      </c>
      <c r="D147" s="37">
        <v>636816</v>
      </c>
      <c r="E147" s="37">
        <v>635157.6</v>
      </c>
      <c r="F147" s="37"/>
      <c r="G147" s="37"/>
      <c r="H147" s="2">
        <f t="shared" si="4"/>
        <v>635157.6</v>
      </c>
      <c r="I147" s="89">
        <f t="shared" si="5"/>
        <v>99.73957940755257</v>
      </c>
      <c r="J147" s="24"/>
      <c r="K147" s="16"/>
      <c r="L147" s="11"/>
    </row>
    <row r="148" spans="2:12" s="8" customFormat="1" ht="18">
      <c r="B148" s="19">
        <v>24</v>
      </c>
      <c r="C148" s="78" t="s">
        <v>89</v>
      </c>
      <c r="D148" s="20">
        <f>D149+D150+D151+D152+D153</f>
        <v>19312495.830000002</v>
      </c>
      <c r="E148" s="20">
        <f>E149+E150+E151+E152+E153</f>
        <v>15801037.719999999</v>
      </c>
      <c r="F148" s="20">
        <f>F149+F150+F151+F152+F153</f>
        <v>2663050.08</v>
      </c>
      <c r="G148" s="20">
        <f>G149+G150+G151+G152+G153</f>
        <v>341188.55</v>
      </c>
      <c r="H148" s="20">
        <f t="shared" si="4"/>
        <v>18805276.349999998</v>
      </c>
      <c r="I148" s="88">
        <f t="shared" si="5"/>
        <v>97.37362024843992</v>
      </c>
      <c r="J148" s="72" t="s">
        <v>14</v>
      </c>
      <c r="K148" s="17"/>
      <c r="L148" s="12"/>
    </row>
    <row r="149" spans="2:11" ht="18">
      <c r="B149" s="21" t="s">
        <v>18</v>
      </c>
      <c r="C149" s="40" t="s">
        <v>70</v>
      </c>
      <c r="D149" s="37">
        <f>9123095+180000+753.31</f>
        <v>9303848.31</v>
      </c>
      <c r="E149" s="37">
        <v>9032330.76</v>
      </c>
      <c r="F149" s="37">
        <v>74578.5</v>
      </c>
      <c r="G149" s="37"/>
      <c r="H149" s="2">
        <f t="shared" si="4"/>
        <v>9106909.26</v>
      </c>
      <c r="I149" s="89">
        <f t="shared" si="5"/>
        <v>97.88325171006575</v>
      </c>
      <c r="J149" s="24"/>
      <c r="K149" s="15"/>
    </row>
    <row r="150" spans="2:11" ht="18">
      <c r="B150" s="21" t="s">
        <v>19</v>
      </c>
      <c r="C150" s="40" t="s">
        <v>71</v>
      </c>
      <c r="D150" s="37">
        <f>1208139+534138+313466.58</f>
        <v>2055743.58</v>
      </c>
      <c r="E150" s="37">
        <v>1197911.87</v>
      </c>
      <c r="F150" s="37">
        <v>480534.5</v>
      </c>
      <c r="G150" s="37">
        <v>310125.93</v>
      </c>
      <c r="H150" s="2">
        <f t="shared" si="4"/>
        <v>1988572.3</v>
      </c>
      <c r="I150" s="89">
        <f t="shared" si="5"/>
        <v>96.73250688201104</v>
      </c>
      <c r="J150" s="24"/>
      <c r="K150" s="15"/>
    </row>
    <row r="151" spans="2:11" ht="18">
      <c r="B151" s="21" t="s">
        <v>20</v>
      </c>
      <c r="C151" s="40" t="s">
        <v>72</v>
      </c>
      <c r="D151" s="37">
        <f>368790+149680+13740.99</f>
        <v>532210.99</v>
      </c>
      <c r="E151" s="37">
        <v>368482.76</v>
      </c>
      <c r="F151" s="37">
        <v>117152.12</v>
      </c>
      <c r="G151" s="37">
        <v>13736.62</v>
      </c>
      <c r="H151" s="2">
        <f t="shared" si="4"/>
        <v>499371.5</v>
      </c>
      <c r="I151" s="89">
        <f t="shared" si="5"/>
        <v>93.82961069631426</v>
      </c>
      <c r="J151" s="24"/>
      <c r="K151" s="14"/>
    </row>
    <row r="152" spans="2:11" ht="18">
      <c r="B152" s="21" t="s">
        <v>21</v>
      </c>
      <c r="C152" s="40" t="s">
        <v>73</v>
      </c>
      <c r="D152" s="37">
        <f>258310+202000+17536</f>
        <v>477846</v>
      </c>
      <c r="E152" s="37">
        <v>257705</v>
      </c>
      <c r="F152" s="37">
        <v>148616</v>
      </c>
      <c r="G152" s="37">
        <v>17326</v>
      </c>
      <c r="H152" s="2">
        <f t="shared" si="4"/>
        <v>423647</v>
      </c>
      <c r="I152" s="89">
        <f t="shared" si="5"/>
        <v>88.65764283890626</v>
      </c>
      <c r="J152" s="24"/>
      <c r="K152" s="15"/>
    </row>
    <row r="153" spans="2:11" ht="18">
      <c r="B153" s="21" t="s">
        <v>22</v>
      </c>
      <c r="C153" s="80" t="s">
        <v>74</v>
      </c>
      <c r="D153" s="37">
        <f>5008664.95+1934182</f>
        <v>6942846.95</v>
      </c>
      <c r="E153" s="37">
        <v>4944607.33</v>
      </c>
      <c r="F153" s="37">
        <v>1842168.96</v>
      </c>
      <c r="G153" s="37"/>
      <c r="H153" s="2">
        <f t="shared" si="4"/>
        <v>6786776.29</v>
      </c>
      <c r="I153" s="89">
        <f t="shared" si="5"/>
        <v>97.75206538291903</v>
      </c>
      <c r="J153" s="24"/>
      <c r="K153" s="14"/>
    </row>
    <row r="154" spans="2:11" s="8" customFormat="1" ht="18">
      <c r="B154" s="19">
        <v>25</v>
      </c>
      <c r="C154" s="78" t="s">
        <v>88</v>
      </c>
      <c r="D154" s="20">
        <f>D155+D156+D157+D158+D159</f>
        <v>4649278.720000001</v>
      </c>
      <c r="E154" s="20">
        <f>E155+E156+E157+E158+E159</f>
        <v>3949532.49</v>
      </c>
      <c r="F154" s="20">
        <f>F155+F156+F157+F158+F159</f>
        <v>315712.65</v>
      </c>
      <c r="G154" s="20">
        <f>G155+G156+G157+G158+G159</f>
        <v>115897.88</v>
      </c>
      <c r="H154" s="20">
        <f t="shared" si="4"/>
        <v>4381143.0200000005</v>
      </c>
      <c r="I154" s="88">
        <f t="shared" si="5"/>
        <v>94.23274627854533</v>
      </c>
      <c r="J154" s="72" t="s">
        <v>15</v>
      </c>
      <c r="K154" s="15"/>
    </row>
    <row r="155" spans="2:11" ht="18">
      <c r="B155" s="21" t="s">
        <v>18</v>
      </c>
      <c r="C155" s="40" t="s">
        <v>70</v>
      </c>
      <c r="D155" s="37">
        <f>2761755+26573.8</f>
        <v>2788328.8</v>
      </c>
      <c r="E155" s="37">
        <v>2743763.83</v>
      </c>
      <c r="F155" s="37"/>
      <c r="G155" s="37">
        <v>25308.84</v>
      </c>
      <c r="H155" s="2">
        <f t="shared" si="4"/>
        <v>2769072.67</v>
      </c>
      <c r="I155" s="89">
        <f t="shared" si="5"/>
        <v>99.30940246358321</v>
      </c>
      <c r="J155" s="24"/>
      <c r="K155" s="15"/>
    </row>
    <row r="156" spans="2:11" ht="18">
      <c r="B156" s="21" t="s">
        <v>19</v>
      </c>
      <c r="C156" s="40" t="s">
        <v>71</v>
      </c>
      <c r="D156" s="37">
        <f>361252.11+55428+33129.85</f>
        <v>449809.95999999996</v>
      </c>
      <c r="E156" s="37">
        <v>357801.3</v>
      </c>
      <c r="F156" s="37">
        <v>55337.43</v>
      </c>
      <c r="G156" s="37">
        <v>33099.97</v>
      </c>
      <c r="H156" s="2">
        <f t="shared" si="4"/>
        <v>446238.69999999995</v>
      </c>
      <c r="I156" s="89">
        <f t="shared" si="5"/>
        <v>99.20605137333997</v>
      </c>
      <c r="J156" s="24"/>
      <c r="K156" s="14"/>
    </row>
    <row r="157" spans="2:11" ht="18">
      <c r="B157" s="21" t="s">
        <v>20</v>
      </c>
      <c r="C157" s="40" t="s">
        <v>72</v>
      </c>
      <c r="D157" s="37">
        <f>75315+5887+11378.12</f>
        <v>92580.12</v>
      </c>
      <c r="E157" s="37">
        <v>71256.56</v>
      </c>
      <c r="F157" s="37">
        <v>3942.27</v>
      </c>
      <c r="G157" s="37">
        <v>11378.12</v>
      </c>
      <c r="H157" s="2">
        <f t="shared" si="4"/>
        <v>86576.95</v>
      </c>
      <c r="I157" s="89">
        <f t="shared" si="5"/>
        <v>93.51570293924874</v>
      </c>
      <c r="J157" s="24"/>
      <c r="K157" s="14"/>
    </row>
    <row r="158" spans="2:11" ht="18">
      <c r="B158" s="21" t="s">
        <v>21</v>
      </c>
      <c r="C158" s="40" t="s">
        <v>73</v>
      </c>
      <c r="D158" s="37">
        <f>41000+21157.6</f>
        <v>62157.6</v>
      </c>
      <c r="E158" s="37">
        <v>0</v>
      </c>
      <c r="F158" s="37">
        <v>39854</v>
      </c>
      <c r="G158" s="37">
        <v>21157.6</v>
      </c>
      <c r="H158" s="2">
        <f t="shared" si="4"/>
        <v>61011.6</v>
      </c>
      <c r="I158" s="89">
        <f t="shared" si="5"/>
        <v>98.15629947102205</v>
      </c>
      <c r="J158" s="24"/>
      <c r="K158" s="14"/>
    </row>
    <row r="159" spans="2:11" ht="18">
      <c r="B159" s="21" t="s">
        <v>22</v>
      </c>
      <c r="C159" s="80" t="s">
        <v>74</v>
      </c>
      <c r="D159" s="37">
        <f>782776.89+447026+26599.35</f>
        <v>1256402.2400000002</v>
      </c>
      <c r="E159" s="37">
        <v>776710.8</v>
      </c>
      <c r="F159" s="37">
        <v>216578.95</v>
      </c>
      <c r="G159" s="37">
        <v>24953.35</v>
      </c>
      <c r="H159" s="2">
        <f t="shared" si="4"/>
        <v>1018243.1</v>
      </c>
      <c r="I159" s="89">
        <f t="shared" si="5"/>
        <v>81.04435566749704</v>
      </c>
      <c r="J159" s="24"/>
      <c r="K159" s="14"/>
    </row>
    <row r="160" spans="2:11" s="8" customFormat="1" ht="18">
      <c r="B160" s="19">
        <v>26</v>
      </c>
      <c r="C160" s="78" t="s">
        <v>87</v>
      </c>
      <c r="D160" s="20">
        <f>D161+D162+D163+D164+D165</f>
        <v>6213804.25</v>
      </c>
      <c r="E160" s="20">
        <f>E161+E162+E163+E164+E165</f>
        <v>5323152.25</v>
      </c>
      <c r="F160" s="20">
        <f>F161+F162+F163+F164+F165</f>
        <v>379584.35</v>
      </c>
      <c r="G160" s="20">
        <f>G161+G162+G163+G164+G165</f>
        <v>147142.95</v>
      </c>
      <c r="H160" s="20">
        <f t="shared" si="4"/>
        <v>5849879.55</v>
      </c>
      <c r="I160" s="88">
        <f t="shared" si="5"/>
        <v>94.14328669912638</v>
      </c>
      <c r="J160" s="72" t="s">
        <v>24</v>
      </c>
      <c r="K160" s="15"/>
    </row>
    <row r="161" spans="2:11" ht="18">
      <c r="B161" s="21" t="s">
        <v>18</v>
      </c>
      <c r="C161" s="40" t="s">
        <v>70</v>
      </c>
      <c r="D161" s="37">
        <f>3984941.68+65956</f>
        <v>4050897.68</v>
      </c>
      <c r="E161" s="37">
        <v>3973281.47</v>
      </c>
      <c r="F161" s="37">
        <v>14094.27</v>
      </c>
      <c r="G161" s="37"/>
      <c r="H161" s="2">
        <f t="shared" si="4"/>
        <v>3987375.74</v>
      </c>
      <c r="I161" s="89">
        <f t="shared" si="5"/>
        <v>98.43190460441352</v>
      </c>
      <c r="J161" s="24"/>
      <c r="K161" s="15"/>
    </row>
    <row r="162" spans="2:11" ht="18">
      <c r="B162" s="21" t="s">
        <v>19</v>
      </c>
      <c r="C162" s="40" t="s">
        <v>71</v>
      </c>
      <c r="D162" s="37">
        <f>404990.32+140958+88604.27</f>
        <v>634552.5900000001</v>
      </c>
      <c r="E162" s="37">
        <v>392324.32</v>
      </c>
      <c r="F162" s="37">
        <v>131562.22</v>
      </c>
      <c r="G162" s="37">
        <v>86557.34</v>
      </c>
      <c r="H162" s="2">
        <f t="shared" si="4"/>
        <v>610443.88</v>
      </c>
      <c r="I162" s="89">
        <f t="shared" si="5"/>
        <v>96.20067581790185</v>
      </c>
      <c r="J162" s="24"/>
      <c r="K162" s="14"/>
    </row>
    <row r="163" spans="2:11" ht="18">
      <c r="B163" s="21" t="s">
        <v>20</v>
      </c>
      <c r="C163" s="40" t="s">
        <v>72</v>
      </c>
      <c r="D163" s="37">
        <f>123009+11802</f>
        <v>134811</v>
      </c>
      <c r="E163" s="37">
        <v>122863.78</v>
      </c>
      <c r="F163" s="37"/>
      <c r="G163" s="37">
        <v>11801.63</v>
      </c>
      <c r="H163" s="2">
        <f t="shared" si="4"/>
        <v>134665.41</v>
      </c>
      <c r="I163" s="89">
        <f t="shared" si="5"/>
        <v>99.89200436166189</v>
      </c>
      <c r="J163" s="24"/>
      <c r="K163" s="14"/>
    </row>
    <row r="164" spans="2:11" ht="18">
      <c r="B164" s="21" t="s">
        <v>21</v>
      </c>
      <c r="C164" s="40" t="s">
        <v>73</v>
      </c>
      <c r="D164" s="37">
        <f>25000+49390.5</f>
        <v>74390.5</v>
      </c>
      <c r="E164" s="37">
        <v>0</v>
      </c>
      <c r="F164" s="37">
        <v>24985</v>
      </c>
      <c r="G164" s="37">
        <v>30570.5</v>
      </c>
      <c r="H164" s="2">
        <f t="shared" si="4"/>
        <v>55555.5</v>
      </c>
      <c r="I164" s="89">
        <f t="shared" si="5"/>
        <v>74.68090683622238</v>
      </c>
      <c r="J164" s="24"/>
      <c r="K164" s="15"/>
    </row>
    <row r="165" spans="2:11" ht="18">
      <c r="B165" s="21" t="s">
        <v>22</v>
      </c>
      <c r="C165" s="80" t="s">
        <v>74</v>
      </c>
      <c r="D165" s="37">
        <f>922637+378302+18213.48</f>
        <v>1319152.48</v>
      </c>
      <c r="E165" s="37">
        <v>834682.68</v>
      </c>
      <c r="F165" s="37">
        <v>208942.86</v>
      </c>
      <c r="G165" s="37">
        <v>18213.48</v>
      </c>
      <c r="H165" s="2">
        <f t="shared" si="4"/>
        <v>1061839.02</v>
      </c>
      <c r="I165" s="89">
        <f t="shared" si="5"/>
        <v>80.49403204700036</v>
      </c>
      <c r="J165" s="24"/>
      <c r="K165" s="14"/>
    </row>
    <row r="166" spans="2:11" s="8" customFormat="1" ht="18">
      <c r="B166" s="19">
        <v>27</v>
      </c>
      <c r="C166" s="78" t="s">
        <v>86</v>
      </c>
      <c r="D166" s="20">
        <f>D167+D168+D169+D170+D171</f>
        <v>1830683.51</v>
      </c>
      <c r="E166" s="20">
        <f>E167+E168+E169+E170+E171</f>
        <v>1726355.6</v>
      </c>
      <c r="F166" s="20">
        <f>F167+F168+F169+F170+F171</f>
        <v>2767.46</v>
      </c>
      <c r="G166" s="20">
        <f>G167+G168+G169+G170+G171</f>
        <v>30524.96</v>
      </c>
      <c r="H166" s="20">
        <f t="shared" si="4"/>
        <v>1759648.02</v>
      </c>
      <c r="I166" s="88">
        <f t="shared" si="5"/>
        <v>96.1197285269697</v>
      </c>
      <c r="J166" s="72" t="s">
        <v>36</v>
      </c>
      <c r="K166" s="14"/>
    </row>
    <row r="167" spans="2:11" ht="18">
      <c r="B167" s="21" t="s">
        <v>18</v>
      </c>
      <c r="C167" s="40" t="s">
        <v>70</v>
      </c>
      <c r="D167" s="37">
        <v>682892</v>
      </c>
      <c r="E167" s="37">
        <v>664284.35</v>
      </c>
      <c r="F167" s="37"/>
      <c r="G167" s="37"/>
      <c r="H167" s="2">
        <f t="shared" si="4"/>
        <v>664284.35</v>
      </c>
      <c r="I167" s="89">
        <f t="shared" si="5"/>
        <v>97.27516942649788</v>
      </c>
      <c r="J167" s="24"/>
      <c r="K167" s="15"/>
    </row>
    <row r="168" spans="2:11" ht="18">
      <c r="B168" s="21" t="s">
        <v>19</v>
      </c>
      <c r="C168" s="40" t="s">
        <v>71</v>
      </c>
      <c r="D168" s="37">
        <f>136588+3000+2003.52</f>
        <v>141591.52</v>
      </c>
      <c r="E168" s="37">
        <v>134289.2</v>
      </c>
      <c r="F168" s="37">
        <v>1957.1</v>
      </c>
      <c r="G168" s="37">
        <v>1992.8</v>
      </c>
      <c r="H168" s="2">
        <f t="shared" si="4"/>
        <v>138239.1</v>
      </c>
      <c r="I168" s="89">
        <f t="shared" si="5"/>
        <v>97.6323299587433</v>
      </c>
      <c r="J168" s="24"/>
      <c r="K168" s="14"/>
    </row>
    <row r="169" spans="2:11" ht="18">
      <c r="B169" s="21"/>
      <c r="C169" s="40" t="s">
        <v>72</v>
      </c>
      <c r="D169" s="37">
        <f>28174+2000</f>
        <v>30174</v>
      </c>
      <c r="E169" s="37">
        <v>27485.69</v>
      </c>
      <c r="F169" s="37">
        <v>810.36</v>
      </c>
      <c r="G169" s="37"/>
      <c r="H169" s="2">
        <f t="shared" si="4"/>
        <v>28296.05</v>
      </c>
      <c r="I169" s="89">
        <f t="shared" si="5"/>
        <v>93.77626433353218</v>
      </c>
      <c r="J169" s="24"/>
      <c r="K169" s="14"/>
    </row>
    <row r="170" spans="2:11" ht="18">
      <c r="B170" s="21" t="s">
        <v>21</v>
      </c>
      <c r="C170" s="40" t="s">
        <v>73</v>
      </c>
      <c r="D170" s="37">
        <v>16000</v>
      </c>
      <c r="E170" s="37">
        <v>14791.45</v>
      </c>
      <c r="F170" s="37"/>
      <c r="G170" s="37"/>
      <c r="H170" s="2">
        <f t="shared" si="4"/>
        <v>14791.45</v>
      </c>
      <c r="I170" s="89">
        <f t="shared" si="5"/>
        <v>92.44656250000001</v>
      </c>
      <c r="J170" s="24"/>
      <c r="K170" s="14"/>
    </row>
    <row r="171" spans="2:11" ht="18">
      <c r="B171" s="21" t="s">
        <v>22</v>
      </c>
      <c r="C171" s="80" t="s">
        <v>74</v>
      </c>
      <c r="D171" s="37">
        <f>899934.48+21421+38670.51</f>
        <v>960025.99</v>
      </c>
      <c r="E171" s="37">
        <v>885504.91</v>
      </c>
      <c r="F171" s="37"/>
      <c r="G171" s="37">
        <v>28532.16</v>
      </c>
      <c r="H171" s="2">
        <f t="shared" si="4"/>
        <v>914037.0700000001</v>
      </c>
      <c r="I171" s="89">
        <f t="shared" si="5"/>
        <v>95.20961718963463</v>
      </c>
      <c r="J171" s="24"/>
      <c r="K171" s="14"/>
    </row>
    <row r="172" spans="2:11" s="8" customFormat="1" ht="18">
      <c r="B172" s="19">
        <v>28</v>
      </c>
      <c r="C172" s="78" t="s">
        <v>85</v>
      </c>
      <c r="D172" s="20">
        <f>D173+D174+D175+D176+D177</f>
        <v>3852133.79</v>
      </c>
      <c r="E172" s="20">
        <f>E173+E174+E175+E177</f>
        <v>3645911.41</v>
      </c>
      <c r="F172" s="20">
        <f>F173+F174+F175+F176+F177</f>
        <v>63541.11</v>
      </c>
      <c r="G172" s="20">
        <f>G173+G174+G175+G176+G177</f>
        <v>34118.25</v>
      </c>
      <c r="H172" s="20">
        <f t="shared" si="4"/>
        <v>3743570.77</v>
      </c>
      <c r="I172" s="88">
        <f t="shared" si="5"/>
        <v>97.18174326442592</v>
      </c>
      <c r="J172" s="72" t="s">
        <v>23</v>
      </c>
      <c r="K172" s="14"/>
    </row>
    <row r="173" spans="2:11" ht="18">
      <c r="B173" s="21" t="s">
        <v>18</v>
      </c>
      <c r="C173" s="40" t="s">
        <v>70</v>
      </c>
      <c r="D173" s="37">
        <v>1049448</v>
      </c>
      <c r="E173" s="37">
        <v>1001991.64</v>
      </c>
      <c r="F173" s="37"/>
      <c r="G173" s="37"/>
      <c r="H173" s="2">
        <f t="shared" si="4"/>
        <v>1001991.64</v>
      </c>
      <c r="I173" s="89">
        <f t="shared" si="5"/>
        <v>95.47796937056432</v>
      </c>
      <c r="J173" s="24"/>
      <c r="K173" s="15"/>
    </row>
    <row r="174" spans="2:11" ht="18">
      <c r="B174" s="21" t="s">
        <v>19</v>
      </c>
      <c r="C174" s="40" t="s">
        <v>71</v>
      </c>
      <c r="D174" s="37">
        <f>94483+56910+34119.27</f>
        <v>185512.27</v>
      </c>
      <c r="E174" s="37">
        <v>94087.02</v>
      </c>
      <c r="F174" s="37">
        <v>49703.11</v>
      </c>
      <c r="G174" s="37">
        <v>34118.25</v>
      </c>
      <c r="H174" s="2">
        <f t="shared" si="4"/>
        <v>177908.38</v>
      </c>
      <c r="I174" s="89">
        <f t="shared" si="5"/>
        <v>95.90113904595098</v>
      </c>
      <c r="J174" s="24"/>
      <c r="K174" s="14"/>
    </row>
    <row r="175" spans="2:11" ht="18">
      <c r="B175" s="21" t="s">
        <v>20</v>
      </c>
      <c r="C175" s="40" t="s">
        <v>72</v>
      </c>
      <c r="D175" s="37">
        <v>33158</v>
      </c>
      <c r="E175" s="37">
        <v>33154.82</v>
      </c>
      <c r="F175" s="37"/>
      <c r="G175" s="37"/>
      <c r="H175" s="2">
        <f t="shared" si="4"/>
        <v>33154.82</v>
      </c>
      <c r="I175" s="89">
        <f t="shared" si="5"/>
        <v>99.99040955425538</v>
      </c>
      <c r="J175" s="24"/>
      <c r="K175" s="14"/>
    </row>
    <row r="176" spans="2:11" ht="18">
      <c r="B176" s="21" t="s">
        <v>21</v>
      </c>
      <c r="C176" s="40" t="s">
        <v>73</v>
      </c>
      <c r="D176" s="37">
        <v>5000</v>
      </c>
      <c r="E176" s="37">
        <v>0</v>
      </c>
      <c r="F176" s="37">
        <v>600</v>
      </c>
      <c r="G176" s="37"/>
      <c r="H176" s="2">
        <f t="shared" si="4"/>
        <v>600</v>
      </c>
      <c r="I176" s="89">
        <f t="shared" si="5"/>
        <v>12</v>
      </c>
      <c r="J176" s="24"/>
      <c r="K176" s="14"/>
    </row>
    <row r="177" spans="2:11" ht="18">
      <c r="B177" s="21" t="s">
        <v>22</v>
      </c>
      <c r="C177" s="80" t="s">
        <v>74</v>
      </c>
      <c r="D177" s="37">
        <f>2559015.52+20000</f>
        <v>2579015.52</v>
      </c>
      <c r="E177" s="37">
        <v>2516677.93</v>
      </c>
      <c r="F177" s="37">
        <v>13238</v>
      </c>
      <c r="G177" s="37"/>
      <c r="H177" s="2">
        <f t="shared" si="4"/>
        <v>2529915.93</v>
      </c>
      <c r="I177" s="89">
        <f t="shared" si="5"/>
        <v>98.09618865729044</v>
      </c>
      <c r="J177" s="24"/>
      <c r="K177" s="14"/>
    </row>
    <row r="178" spans="2:11" s="8" customFormat="1" ht="18">
      <c r="B178" s="19">
        <v>29</v>
      </c>
      <c r="C178" s="78" t="s">
        <v>84</v>
      </c>
      <c r="D178" s="20">
        <f>D179+D180+D181+D182+D183</f>
        <v>17494320.69</v>
      </c>
      <c r="E178" s="20">
        <f>E179+E180+E181+E182+E183</f>
        <v>13312287.73</v>
      </c>
      <c r="F178" s="20">
        <f>F179+F180+F181+F182+F183</f>
        <v>2208731.75</v>
      </c>
      <c r="G178" s="20">
        <f>G179+G180+G181+G182+G183</f>
        <v>812311.89</v>
      </c>
      <c r="H178" s="20">
        <f t="shared" si="4"/>
        <v>16333331.370000001</v>
      </c>
      <c r="I178" s="88">
        <f t="shared" si="5"/>
        <v>93.36362159712988</v>
      </c>
      <c r="J178" s="72" t="s">
        <v>16</v>
      </c>
      <c r="K178" s="14"/>
    </row>
    <row r="179" spans="2:11" ht="18">
      <c r="B179" s="21" t="s">
        <v>18</v>
      </c>
      <c r="C179" s="40" t="s">
        <v>70</v>
      </c>
      <c r="D179" s="37">
        <f>7945950+111276+117606.55</f>
        <v>8174832.55</v>
      </c>
      <c r="E179" s="37">
        <v>7942884.69</v>
      </c>
      <c r="F179" s="37">
        <v>82508.32</v>
      </c>
      <c r="G179" s="37">
        <v>117510.65</v>
      </c>
      <c r="H179" s="2">
        <f t="shared" si="4"/>
        <v>8142903.660000001</v>
      </c>
      <c r="I179" s="89">
        <f t="shared" si="5"/>
        <v>99.60942453799866</v>
      </c>
      <c r="J179" s="24"/>
      <c r="K179" s="15"/>
    </row>
    <row r="180" spans="2:11" ht="18">
      <c r="B180" s="21" t="s">
        <v>19</v>
      </c>
      <c r="C180" s="40" t="s">
        <v>71</v>
      </c>
      <c r="D180" s="37">
        <f>1083812+235724</f>
        <v>1319536</v>
      </c>
      <c r="E180" s="37">
        <v>1067721.57</v>
      </c>
      <c r="F180" s="37">
        <v>175356.84</v>
      </c>
      <c r="G180" s="37"/>
      <c r="H180" s="2">
        <f t="shared" si="4"/>
        <v>1243078.4100000001</v>
      </c>
      <c r="I180" s="89">
        <f t="shared" si="5"/>
        <v>94.20572155666842</v>
      </c>
      <c r="J180" s="24"/>
      <c r="K180" s="14"/>
    </row>
    <row r="181" spans="2:11" ht="18">
      <c r="B181" s="21" t="s">
        <v>20</v>
      </c>
      <c r="C181" s="40" t="s">
        <v>72</v>
      </c>
      <c r="D181" s="37">
        <f>408710+101000</f>
        <v>509710</v>
      </c>
      <c r="E181" s="37">
        <v>404271.91</v>
      </c>
      <c r="F181" s="37">
        <v>66999.99</v>
      </c>
      <c r="G181" s="37"/>
      <c r="H181" s="2">
        <f t="shared" si="4"/>
        <v>471271.89999999997</v>
      </c>
      <c r="I181" s="89">
        <f t="shared" si="5"/>
        <v>92.45882953051735</v>
      </c>
      <c r="J181" s="24"/>
      <c r="K181" s="14"/>
    </row>
    <row r="182" spans="2:11" ht="18">
      <c r="B182" s="21" t="s">
        <v>21</v>
      </c>
      <c r="C182" s="40" t="s">
        <v>73</v>
      </c>
      <c r="D182" s="37">
        <f>4500+565000+3893.9</f>
        <v>573393.9</v>
      </c>
      <c r="E182" s="37">
        <v>4300</v>
      </c>
      <c r="F182" s="37">
        <v>534094.12</v>
      </c>
      <c r="G182" s="37">
        <v>3828</v>
      </c>
      <c r="H182" s="2">
        <f t="shared" si="4"/>
        <v>542222.12</v>
      </c>
      <c r="I182" s="89">
        <f t="shared" si="5"/>
        <v>94.56363592287954</v>
      </c>
      <c r="J182" s="24"/>
      <c r="K182" s="14"/>
    </row>
    <row r="183" spans="2:11" ht="18">
      <c r="B183" s="21" t="s">
        <v>22</v>
      </c>
      <c r="C183" s="80" t="s">
        <v>74</v>
      </c>
      <c r="D183" s="37">
        <f>3900437+2118468+897943.24</f>
        <v>6916848.24</v>
      </c>
      <c r="E183" s="37">
        <v>3893109.56</v>
      </c>
      <c r="F183" s="37">
        <v>1349772.48</v>
      </c>
      <c r="G183" s="37">
        <v>690973.24</v>
      </c>
      <c r="H183" s="2">
        <f t="shared" si="4"/>
        <v>5933855.28</v>
      </c>
      <c r="I183" s="89">
        <f t="shared" si="5"/>
        <v>85.78842666642055</v>
      </c>
      <c r="J183" s="24"/>
      <c r="K183" s="14"/>
    </row>
    <row r="184" spans="2:11" s="8" customFormat="1" ht="18">
      <c r="B184" s="19">
        <v>30</v>
      </c>
      <c r="C184" s="78" t="s">
        <v>83</v>
      </c>
      <c r="D184" s="20">
        <f>D185+D186+D187+D188+D189</f>
        <v>6862004.46</v>
      </c>
      <c r="E184" s="20">
        <f>E185+E186+E187+E188+E189</f>
        <v>5961596.22</v>
      </c>
      <c r="F184" s="20">
        <f>F185+F186+F187+F188+F189</f>
        <v>613313.26</v>
      </c>
      <c r="G184" s="20">
        <f>G185+G186+G187+G188+G189</f>
        <v>205394.23</v>
      </c>
      <c r="H184" s="20">
        <f t="shared" si="4"/>
        <v>6780303.71</v>
      </c>
      <c r="I184" s="88">
        <f t="shared" si="5"/>
        <v>98.80937486304111</v>
      </c>
      <c r="J184" s="75" t="s">
        <v>17</v>
      </c>
      <c r="K184" s="14"/>
    </row>
    <row r="185" spans="2:11" ht="18">
      <c r="B185" s="21" t="s">
        <v>18</v>
      </c>
      <c r="C185" s="40" t="s">
        <v>70</v>
      </c>
      <c r="D185" s="37">
        <f>3962869+25000</f>
        <v>3987869</v>
      </c>
      <c r="E185" s="37">
        <v>3940897.03</v>
      </c>
      <c r="F185" s="37">
        <v>580.8</v>
      </c>
      <c r="G185" s="46"/>
      <c r="H185" s="2">
        <f t="shared" si="4"/>
        <v>3941477.8299999996</v>
      </c>
      <c r="I185" s="89">
        <f t="shared" si="5"/>
        <v>98.83669272987652</v>
      </c>
      <c r="J185" s="24"/>
      <c r="K185" s="15"/>
    </row>
    <row r="186" spans="2:11" ht="18">
      <c r="B186" s="21" t="s">
        <v>19</v>
      </c>
      <c r="C186" s="40" t="s">
        <v>71</v>
      </c>
      <c r="D186" s="37">
        <f>456531+200090+35692.39</f>
        <v>692313.39</v>
      </c>
      <c r="E186" s="37">
        <v>452020.58</v>
      </c>
      <c r="F186" s="37">
        <v>197167.53</v>
      </c>
      <c r="G186" s="46">
        <v>34507.91</v>
      </c>
      <c r="H186" s="2">
        <f t="shared" si="4"/>
        <v>683696.02</v>
      </c>
      <c r="I186" s="89">
        <f t="shared" si="5"/>
        <v>98.75527902183143</v>
      </c>
      <c r="J186" s="24"/>
      <c r="K186" s="14"/>
    </row>
    <row r="187" spans="2:11" ht="18">
      <c r="B187" s="21" t="s">
        <v>20</v>
      </c>
      <c r="C187" s="40" t="s">
        <v>72</v>
      </c>
      <c r="D187" s="37">
        <v>201292</v>
      </c>
      <c r="E187" s="37">
        <v>199085.36</v>
      </c>
      <c r="F187" s="37"/>
      <c r="G187" s="46"/>
      <c r="H187" s="2">
        <f t="shared" si="4"/>
        <v>199085.36</v>
      </c>
      <c r="I187" s="89">
        <f t="shared" si="5"/>
        <v>98.90376169942174</v>
      </c>
      <c r="J187" s="24"/>
      <c r="K187" s="15"/>
    </row>
    <row r="188" spans="2:11" ht="18">
      <c r="B188" s="21" t="s">
        <v>21</v>
      </c>
      <c r="C188" s="40" t="s">
        <v>73</v>
      </c>
      <c r="D188" s="37">
        <f>200000+74000+1898</f>
        <v>275898</v>
      </c>
      <c r="E188" s="37">
        <v>200000</v>
      </c>
      <c r="F188" s="37">
        <v>73070</v>
      </c>
      <c r="G188" s="46">
        <v>1748</v>
      </c>
      <c r="H188" s="2">
        <f t="shared" si="4"/>
        <v>274818</v>
      </c>
      <c r="I188" s="89">
        <f t="shared" si="5"/>
        <v>99.60855098623405</v>
      </c>
      <c r="J188" s="24"/>
      <c r="K188" s="14"/>
    </row>
    <row r="189" spans="2:11" ht="18">
      <c r="B189" s="21" t="s">
        <v>22</v>
      </c>
      <c r="C189" s="80" t="s">
        <v>74</v>
      </c>
      <c r="D189" s="37">
        <f>1172985+362037+169610.07</f>
        <v>1704632.07</v>
      </c>
      <c r="E189" s="37">
        <v>1169593.25</v>
      </c>
      <c r="F189" s="37">
        <v>342494.93</v>
      </c>
      <c r="G189" s="46">
        <v>169138.32</v>
      </c>
      <c r="H189" s="2">
        <f t="shared" si="4"/>
        <v>1681226.5</v>
      </c>
      <c r="I189" s="89">
        <f t="shared" si="5"/>
        <v>98.6269429977344</v>
      </c>
      <c r="J189" s="24"/>
      <c r="K189" s="14"/>
    </row>
    <row r="190" spans="2:11" s="8" customFormat="1" ht="18">
      <c r="B190" s="19">
        <v>31</v>
      </c>
      <c r="C190" s="78" t="s">
        <v>82</v>
      </c>
      <c r="D190" s="20">
        <f>D191+D192+D193+D194+D195</f>
        <v>1414771.3</v>
      </c>
      <c r="E190" s="20">
        <f>E191+E192+E193+E194+E195</f>
        <v>1288602.5</v>
      </c>
      <c r="F190" s="20">
        <f>F191+F192+F193+F194+F195</f>
        <v>28537.17</v>
      </c>
      <c r="G190" s="20">
        <f>G191+G192+G193+G194+G195</f>
        <v>49949</v>
      </c>
      <c r="H190" s="20">
        <f t="shared" si="4"/>
        <v>1367088.67</v>
      </c>
      <c r="I190" s="88">
        <f t="shared" si="5"/>
        <v>96.62965809385587</v>
      </c>
      <c r="J190" s="72" t="s">
        <v>38</v>
      </c>
      <c r="K190" s="15"/>
    </row>
    <row r="191" spans="2:11" ht="18">
      <c r="B191" s="21" t="s">
        <v>18</v>
      </c>
      <c r="C191" s="40" t="s">
        <v>70</v>
      </c>
      <c r="D191" s="37">
        <v>609256</v>
      </c>
      <c r="E191" s="37">
        <v>602814.28</v>
      </c>
      <c r="F191" s="37"/>
      <c r="G191" s="46"/>
      <c r="H191" s="2">
        <f t="shared" si="4"/>
        <v>602814.28</v>
      </c>
      <c r="I191" s="89">
        <f t="shared" si="5"/>
        <v>98.94269075725147</v>
      </c>
      <c r="J191" s="24"/>
      <c r="K191" s="15"/>
    </row>
    <row r="192" spans="2:11" ht="18">
      <c r="B192" s="21" t="s">
        <v>19</v>
      </c>
      <c r="C192" s="40" t="s">
        <v>71</v>
      </c>
      <c r="D192" s="37">
        <v>131850</v>
      </c>
      <c r="E192" s="37">
        <v>131728.36</v>
      </c>
      <c r="F192" s="37"/>
      <c r="G192" s="46"/>
      <c r="H192" s="2">
        <f t="shared" si="4"/>
        <v>131728.36</v>
      </c>
      <c r="I192" s="89">
        <f t="shared" si="5"/>
        <v>99.90774364808493</v>
      </c>
      <c r="J192" s="24"/>
      <c r="K192" s="14"/>
    </row>
    <row r="193" spans="2:11" ht="18">
      <c r="B193" s="21" t="s">
        <v>20</v>
      </c>
      <c r="C193" s="40" t="s">
        <v>72</v>
      </c>
      <c r="D193" s="37">
        <v>33373</v>
      </c>
      <c r="E193" s="37">
        <v>31113.52</v>
      </c>
      <c r="F193" s="37"/>
      <c r="G193" s="46"/>
      <c r="H193" s="2">
        <f t="shared" si="4"/>
        <v>31113.52</v>
      </c>
      <c r="I193" s="89">
        <f t="shared" si="5"/>
        <v>93.22961675606028</v>
      </c>
      <c r="J193" s="24"/>
      <c r="K193" s="14"/>
    </row>
    <row r="194" spans="2:11" ht="18">
      <c r="B194" s="21" t="s">
        <v>21</v>
      </c>
      <c r="C194" s="40" t="s">
        <v>73</v>
      </c>
      <c r="D194" s="37">
        <v>4000</v>
      </c>
      <c r="E194" s="37">
        <v>0</v>
      </c>
      <c r="F194" s="37">
        <v>4000</v>
      </c>
      <c r="G194" s="46"/>
      <c r="H194" s="2">
        <f t="shared" si="4"/>
        <v>4000</v>
      </c>
      <c r="I194" s="89">
        <f t="shared" si="5"/>
        <v>100</v>
      </c>
      <c r="J194" s="24"/>
      <c r="K194" s="14"/>
    </row>
    <row r="195" spans="2:11" ht="18">
      <c r="B195" s="21" t="s">
        <v>22</v>
      </c>
      <c r="C195" s="80" t="s">
        <v>74</v>
      </c>
      <c r="D195" s="37">
        <f>523268+54172+58852.3</f>
        <v>636292.3</v>
      </c>
      <c r="E195" s="37">
        <v>522946.34</v>
      </c>
      <c r="F195" s="37">
        <v>24537.17</v>
      </c>
      <c r="G195" s="46">
        <v>49949</v>
      </c>
      <c r="H195" s="2">
        <f t="shared" si="4"/>
        <v>597432.51</v>
      </c>
      <c r="I195" s="89">
        <f t="shared" si="5"/>
        <v>93.89277695172485</v>
      </c>
      <c r="J195" s="24"/>
      <c r="K195" s="14"/>
    </row>
    <row r="196" spans="2:28" s="8" customFormat="1" ht="18">
      <c r="B196" s="19">
        <v>32</v>
      </c>
      <c r="C196" s="78" t="s">
        <v>81</v>
      </c>
      <c r="D196" s="20">
        <f>D197+D198+D199+D200+D201</f>
        <v>874101.78</v>
      </c>
      <c r="E196" s="20">
        <f>E197+E198+E199+E200++E201</f>
        <v>753671.46</v>
      </c>
      <c r="F196" s="20"/>
      <c r="G196" s="20">
        <f>G197+G198+G199+G200+G201</f>
        <v>16510.7</v>
      </c>
      <c r="H196" s="20">
        <f t="shared" si="4"/>
        <v>770182.1599999999</v>
      </c>
      <c r="I196" s="88">
        <f t="shared" si="5"/>
        <v>88.11126777478933</v>
      </c>
      <c r="J196" s="72" t="s">
        <v>39</v>
      </c>
      <c r="K196" s="17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2:11" ht="18">
      <c r="B197" s="21" t="s">
        <v>18</v>
      </c>
      <c r="C197" s="40" t="s">
        <v>70</v>
      </c>
      <c r="D197" s="37">
        <v>525177</v>
      </c>
      <c r="E197" s="23">
        <v>507555.48</v>
      </c>
      <c r="F197" s="23"/>
      <c r="G197" s="31"/>
      <c r="H197" s="2">
        <f t="shared" si="4"/>
        <v>507555.48</v>
      </c>
      <c r="I197" s="89">
        <f t="shared" si="5"/>
        <v>96.6446512318704</v>
      </c>
      <c r="J197" s="24"/>
      <c r="K197" s="15"/>
    </row>
    <row r="198" spans="2:11" ht="18">
      <c r="B198" s="21" t="s">
        <v>19</v>
      </c>
      <c r="C198" s="40" t="s">
        <v>71</v>
      </c>
      <c r="D198" s="37">
        <f>96095+16569.78</f>
        <v>112664.78</v>
      </c>
      <c r="E198" s="23">
        <v>94586.47</v>
      </c>
      <c r="F198" s="23"/>
      <c r="G198" s="31">
        <v>16510.7</v>
      </c>
      <c r="H198" s="2">
        <f t="shared" si="4"/>
        <v>111097.17</v>
      </c>
      <c r="I198" s="89">
        <f t="shared" si="5"/>
        <v>98.60860687785483</v>
      </c>
      <c r="J198" s="24"/>
      <c r="K198" s="14"/>
    </row>
    <row r="199" spans="2:11" ht="18">
      <c r="B199" s="21" t="s">
        <v>20</v>
      </c>
      <c r="C199" s="40" t="s">
        <v>72</v>
      </c>
      <c r="D199" s="37">
        <v>21122</v>
      </c>
      <c r="E199" s="23">
        <v>20971.67</v>
      </c>
      <c r="F199" s="23"/>
      <c r="G199" s="31"/>
      <c r="H199" s="2">
        <f t="shared" si="4"/>
        <v>20971.67</v>
      </c>
      <c r="I199" s="89">
        <f t="shared" si="5"/>
        <v>99.28827762522488</v>
      </c>
      <c r="J199" s="24"/>
      <c r="K199" s="14"/>
    </row>
    <row r="200" spans="2:11" ht="18">
      <c r="B200" s="21" t="s">
        <v>21</v>
      </c>
      <c r="C200" s="40" t="s">
        <v>73</v>
      </c>
      <c r="D200" s="37">
        <v>1500</v>
      </c>
      <c r="E200" s="23">
        <v>1430</v>
      </c>
      <c r="F200" s="23"/>
      <c r="G200" s="31"/>
      <c r="H200" s="2">
        <f t="shared" si="4"/>
        <v>1430</v>
      </c>
      <c r="I200" s="89">
        <f t="shared" si="5"/>
        <v>95.33333333333334</v>
      </c>
      <c r="J200" s="24"/>
      <c r="K200" s="14"/>
    </row>
    <row r="201" spans="2:11" ht="18">
      <c r="B201" s="21" t="s">
        <v>22</v>
      </c>
      <c r="C201" s="80" t="s">
        <v>74</v>
      </c>
      <c r="D201" s="37">
        <f>135229+78409</f>
        <v>213638</v>
      </c>
      <c r="E201" s="23">
        <v>129127.84</v>
      </c>
      <c r="F201" s="23"/>
      <c r="G201" s="31"/>
      <c r="H201" s="2">
        <f t="shared" si="4"/>
        <v>129127.84</v>
      </c>
      <c r="I201" s="89">
        <f t="shared" si="5"/>
        <v>60.44235576067928</v>
      </c>
      <c r="J201" s="24"/>
      <c r="K201" s="14"/>
    </row>
    <row r="202" spans="2:11" s="8" customFormat="1" ht="18">
      <c r="B202" s="19">
        <v>33</v>
      </c>
      <c r="C202" s="78" t="s">
        <v>80</v>
      </c>
      <c r="D202" s="20">
        <f>D203+D204+D205+D206+D207</f>
        <v>1447931.15</v>
      </c>
      <c r="E202" s="25">
        <f>E203+E204+E205+E206+E207</f>
        <v>1150835.5</v>
      </c>
      <c r="F202" s="25">
        <f>F203+F204+F205+F206+F207</f>
        <v>111574.94</v>
      </c>
      <c r="G202" s="25">
        <f>G203+G204+G205+G206+G207</f>
        <v>139412.24</v>
      </c>
      <c r="H202" s="20">
        <f aca="true" t="shared" si="6" ref="H202:H231">E202+F202+G202</f>
        <v>1401822.68</v>
      </c>
      <c r="I202" s="88">
        <f t="shared" si="5"/>
        <v>96.81556198304042</v>
      </c>
      <c r="J202" s="72" t="s">
        <v>40</v>
      </c>
      <c r="K202" s="14"/>
    </row>
    <row r="203" spans="2:11" ht="18">
      <c r="B203" s="21" t="s">
        <v>18</v>
      </c>
      <c r="C203" s="40" t="s">
        <v>70</v>
      </c>
      <c r="D203" s="37">
        <v>755777</v>
      </c>
      <c r="E203" s="37">
        <v>747834.87</v>
      </c>
      <c r="F203" s="37"/>
      <c r="G203" s="46"/>
      <c r="H203" s="2">
        <f t="shared" si="6"/>
        <v>747834.87</v>
      </c>
      <c r="I203" s="89">
        <f aca="true" t="shared" si="7" ref="I203:I231">H203/D203*100</f>
        <v>98.94914372890416</v>
      </c>
      <c r="J203" s="24"/>
      <c r="K203" s="14"/>
    </row>
    <row r="204" spans="2:12" ht="18">
      <c r="B204" s="21" t="s">
        <v>19</v>
      </c>
      <c r="C204" s="40" t="s">
        <v>71</v>
      </c>
      <c r="D204" s="37">
        <f>169339+16000</f>
        <v>185339</v>
      </c>
      <c r="E204" s="37">
        <v>168938.24</v>
      </c>
      <c r="F204" s="37">
        <v>15996.09</v>
      </c>
      <c r="G204" s="46"/>
      <c r="H204" s="2">
        <f t="shared" si="6"/>
        <v>184934.33</v>
      </c>
      <c r="I204" s="89">
        <f t="shared" si="7"/>
        <v>99.7816595535748</v>
      </c>
      <c r="J204" s="24"/>
      <c r="K204" s="15"/>
      <c r="L204" s="5"/>
    </row>
    <row r="205" spans="2:11" ht="18">
      <c r="B205" s="21" t="s">
        <v>20</v>
      </c>
      <c r="C205" s="40" t="s">
        <v>72</v>
      </c>
      <c r="D205" s="37">
        <f>29264+2000</f>
        <v>31264</v>
      </c>
      <c r="E205" s="37">
        <v>29236.38</v>
      </c>
      <c r="F205" s="37">
        <v>1724.39</v>
      </c>
      <c r="G205" s="46"/>
      <c r="H205" s="2">
        <f t="shared" si="6"/>
        <v>30960.77</v>
      </c>
      <c r="I205" s="89">
        <f t="shared" si="7"/>
        <v>99.03009851586489</v>
      </c>
      <c r="J205" s="24"/>
      <c r="K205" s="14" t="s">
        <v>43</v>
      </c>
    </row>
    <row r="206" spans="2:11" ht="18">
      <c r="B206" s="21" t="s">
        <v>21</v>
      </c>
      <c r="C206" s="40" t="s">
        <v>73</v>
      </c>
      <c r="D206" s="37">
        <f>8000+2000+20253.15</f>
        <v>30253.15</v>
      </c>
      <c r="E206" s="45">
        <v>8000</v>
      </c>
      <c r="F206" s="37">
        <v>1900</v>
      </c>
      <c r="G206" s="46">
        <v>20100</v>
      </c>
      <c r="H206" s="2">
        <f t="shared" si="6"/>
        <v>30000</v>
      </c>
      <c r="I206" s="89">
        <f t="shared" si="7"/>
        <v>99.16322763084175</v>
      </c>
      <c r="J206" s="24"/>
      <c r="K206" s="14"/>
    </row>
    <row r="207" spans="2:11" ht="18">
      <c r="B207" s="21" t="s">
        <v>22</v>
      </c>
      <c r="C207" s="80" t="s">
        <v>74</v>
      </c>
      <c r="D207" s="37">
        <f>197377+127921+120000</f>
        <v>445298</v>
      </c>
      <c r="E207" s="37">
        <v>196826.01</v>
      </c>
      <c r="F207" s="37">
        <v>91954.46</v>
      </c>
      <c r="G207" s="46">
        <v>119312.24</v>
      </c>
      <c r="H207" s="2">
        <f t="shared" si="6"/>
        <v>408092.71</v>
      </c>
      <c r="I207" s="89">
        <f t="shared" si="7"/>
        <v>91.6448558044276</v>
      </c>
      <c r="J207" s="24"/>
      <c r="K207" s="14"/>
    </row>
    <row r="208" spans="2:11" ht="18">
      <c r="B208" s="19">
        <v>34</v>
      </c>
      <c r="C208" s="81" t="s">
        <v>79</v>
      </c>
      <c r="D208" s="20">
        <f>D209+D210+D211+D212+D213</f>
        <v>6012330.98</v>
      </c>
      <c r="E208" s="90">
        <f>E209+E210+E211+E212+E213</f>
        <v>5556708.85</v>
      </c>
      <c r="F208" s="20"/>
      <c r="G208" s="20"/>
      <c r="H208" s="20">
        <f t="shared" si="6"/>
        <v>5556708.85</v>
      </c>
      <c r="I208" s="88">
        <f t="shared" si="7"/>
        <v>92.42187212387964</v>
      </c>
      <c r="J208" s="27"/>
      <c r="K208" s="14"/>
    </row>
    <row r="209" spans="2:11" ht="18">
      <c r="B209" s="82" t="s">
        <v>18</v>
      </c>
      <c r="C209" s="40" t="s">
        <v>70</v>
      </c>
      <c r="D209" s="45">
        <v>1669992.74</v>
      </c>
      <c r="E209" s="6">
        <v>1331507.67</v>
      </c>
      <c r="F209" s="2"/>
      <c r="G209" s="2"/>
      <c r="H209" s="2">
        <f t="shared" si="6"/>
        <v>1331507.67</v>
      </c>
      <c r="I209" s="89">
        <f t="shared" si="7"/>
        <v>79.73134482009783</v>
      </c>
      <c r="J209" s="27"/>
      <c r="K209" s="14"/>
    </row>
    <row r="210" spans="2:11" ht="18">
      <c r="B210" s="82" t="s">
        <v>19</v>
      </c>
      <c r="C210" s="40" t="s">
        <v>71</v>
      </c>
      <c r="D210" s="45">
        <v>667871</v>
      </c>
      <c r="E210" s="6">
        <v>629648.56</v>
      </c>
      <c r="F210" s="2"/>
      <c r="G210" s="2"/>
      <c r="H210" s="2">
        <f t="shared" si="6"/>
        <v>629648.56</v>
      </c>
      <c r="I210" s="89">
        <f t="shared" si="7"/>
        <v>94.27697264890975</v>
      </c>
      <c r="J210" s="27"/>
      <c r="K210" s="14"/>
    </row>
    <row r="211" spans="2:11" ht="18">
      <c r="B211" s="82" t="s">
        <v>20</v>
      </c>
      <c r="C211" s="40" t="s">
        <v>72</v>
      </c>
      <c r="D211" s="45">
        <v>81300</v>
      </c>
      <c r="E211" s="6">
        <v>28908.26</v>
      </c>
      <c r="F211" s="2"/>
      <c r="G211" s="2"/>
      <c r="H211" s="2">
        <f t="shared" si="6"/>
        <v>28908.26</v>
      </c>
      <c r="I211" s="89">
        <f t="shared" si="7"/>
        <v>35.55751537515375</v>
      </c>
      <c r="J211" s="27"/>
      <c r="K211" s="14"/>
    </row>
    <row r="212" spans="2:11" ht="18">
      <c r="B212" s="82" t="s">
        <v>21</v>
      </c>
      <c r="C212" s="40" t="s">
        <v>73</v>
      </c>
      <c r="D212" s="45">
        <v>115592</v>
      </c>
      <c r="E212" s="6">
        <v>115587.85</v>
      </c>
      <c r="F212" s="2"/>
      <c r="G212" s="2"/>
      <c r="H212" s="2">
        <f t="shared" si="6"/>
        <v>115587.85</v>
      </c>
      <c r="I212" s="89">
        <f t="shared" si="7"/>
        <v>99.99640978614438</v>
      </c>
      <c r="J212" s="27"/>
      <c r="K212" s="14"/>
    </row>
    <row r="213" spans="2:11" ht="18">
      <c r="B213" s="82" t="s">
        <v>22</v>
      </c>
      <c r="C213" s="80" t="s">
        <v>74</v>
      </c>
      <c r="D213" s="45">
        <v>3477575.24</v>
      </c>
      <c r="E213" s="6">
        <v>3451056.51</v>
      </c>
      <c r="F213" s="2"/>
      <c r="G213" s="2"/>
      <c r="H213" s="2">
        <f t="shared" si="6"/>
        <v>3451056.51</v>
      </c>
      <c r="I213" s="89">
        <f t="shared" si="7"/>
        <v>99.237436197067</v>
      </c>
      <c r="J213" s="27"/>
      <c r="K213" s="14"/>
    </row>
    <row r="214" spans="2:11" ht="18">
      <c r="B214" s="83">
        <v>35</v>
      </c>
      <c r="C214" s="91" t="s">
        <v>78</v>
      </c>
      <c r="D214" s="20">
        <f>D215+D216+D217+D219</f>
        <v>1093600.41</v>
      </c>
      <c r="E214" s="90">
        <f>E215+E216+E217+E218+E219</f>
        <v>565886.74</v>
      </c>
      <c r="F214" s="20"/>
      <c r="G214" s="20"/>
      <c r="H214" s="20">
        <f t="shared" si="6"/>
        <v>565886.74</v>
      </c>
      <c r="I214" s="88">
        <f t="shared" si="7"/>
        <v>51.74529332884943</v>
      </c>
      <c r="J214" s="27"/>
      <c r="K214" s="14"/>
    </row>
    <row r="215" spans="2:11" ht="18">
      <c r="B215" s="82" t="s">
        <v>18</v>
      </c>
      <c r="C215" s="40" t="s">
        <v>70</v>
      </c>
      <c r="D215" s="45">
        <v>397638</v>
      </c>
      <c r="E215" s="6">
        <v>311231.93</v>
      </c>
      <c r="F215" s="2"/>
      <c r="G215" s="2"/>
      <c r="H215" s="2">
        <f t="shared" si="6"/>
        <v>311231.93</v>
      </c>
      <c r="I215" s="89">
        <f t="shared" si="7"/>
        <v>78.2701678411017</v>
      </c>
      <c r="J215" s="27"/>
      <c r="K215" s="14"/>
    </row>
    <row r="216" spans="2:11" ht="18">
      <c r="B216" s="82" t="s">
        <v>19</v>
      </c>
      <c r="C216" s="40" t="s">
        <v>71</v>
      </c>
      <c r="D216" s="45">
        <v>140281</v>
      </c>
      <c r="E216" s="6">
        <v>128212.81</v>
      </c>
      <c r="F216" s="2"/>
      <c r="G216" s="2"/>
      <c r="H216" s="2">
        <f t="shared" si="6"/>
        <v>128212.81</v>
      </c>
      <c r="I216" s="89">
        <f t="shared" si="7"/>
        <v>91.39713147183154</v>
      </c>
      <c r="J216" s="27"/>
      <c r="K216" s="14"/>
    </row>
    <row r="217" spans="2:11" ht="18">
      <c r="B217" s="82" t="s">
        <v>20</v>
      </c>
      <c r="C217" s="40" t="s">
        <v>72</v>
      </c>
      <c r="D217" s="45">
        <v>38500</v>
      </c>
      <c r="E217" s="6">
        <v>15932.86</v>
      </c>
      <c r="F217" s="2"/>
      <c r="G217" s="2"/>
      <c r="H217" s="2">
        <f t="shared" si="6"/>
        <v>15932.86</v>
      </c>
      <c r="I217" s="89">
        <f t="shared" si="7"/>
        <v>41.38405194805195</v>
      </c>
      <c r="J217" s="27"/>
      <c r="K217" s="14"/>
    </row>
    <row r="218" spans="2:11" ht="18">
      <c r="B218" s="82" t="s">
        <v>21</v>
      </c>
      <c r="C218" s="40" t="s">
        <v>73</v>
      </c>
      <c r="D218" s="45">
        <v>0</v>
      </c>
      <c r="E218" s="6">
        <v>0</v>
      </c>
      <c r="F218" s="2"/>
      <c r="G218" s="2"/>
      <c r="H218" s="2">
        <f t="shared" si="6"/>
        <v>0</v>
      </c>
      <c r="I218" s="89"/>
      <c r="J218" s="27"/>
      <c r="K218" s="14"/>
    </row>
    <row r="219" spans="2:11" ht="18">
      <c r="B219" s="82" t="s">
        <v>22</v>
      </c>
      <c r="C219" s="80" t="s">
        <v>74</v>
      </c>
      <c r="D219" s="45">
        <v>517181.41</v>
      </c>
      <c r="E219" s="6">
        <v>110509.14</v>
      </c>
      <c r="F219" s="2"/>
      <c r="G219" s="2"/>
      <c r="H219" s="2">
        <f t="shared" si="6"/>
        <v>110509.14</v>
      </c>
      <c r="I219" s="89">
        <f t="shared" si="7"/>
        <v>21.367577771211845</v>
      </c>
      <c r="J219" s="27"/>
      <c r="K219" s="14"/>
    </row>
    <row r="220" spans="2:11" ht="18">
      <c r="B220" s="83">
        <v>36</v>
      </c>
      <c r="C220" s="91" t="s">
        <v>77</v>
      </c>
      <c r="D220" s="20">
        <f>D221+D222+D223+D224+D225</f>
        <v>1484535.25</v>
      </c>
      <c r="E220" s="90">
        <f>E221+E222+E223+E224++E225</f>
        <v>1324749.56</v>
      </c>
      <c r="F220" s="20">
        <f>F221+F222+F223+F224+F225</f>
        <v>6052.47</v>
      </c>
      <c r="G220" s="20"/>
      <c r="H220" s="20">
        <f t="shared" si="6"/>
        <v>1330802.03</v>
      </c>
      <c r="I220" s="88">
        <f t="shared" si="7"/>
        <v>89.64435367903862</v>
      </c>
      <c r="J220" s="27"/>
      <c r="K220" s="14"/>
    </row>
    <row r="221" spans="2:11" ht="18">
      <c r="B221" s="82" t="s">
        <v>18</v>
      </c>
      <c r="C221" s="40" t="s">
        <v>70</v>
      </c>
      <c r="D221" s="45">
        <v>663766</v>
      </c>
      <c r="E221" s="6">
        <v>528525.74</v>
      </c>
      <c r="F221" s="2"/>
      <c r="G221" s="2"/>
      <c r="H221" s="2">
        <f t="shared" si="6"/>
        <v>528525.74</v>
      </c>
      <c r="I221" s="89">
        <f t="shared" si="7"/>
        <v>79.62531072697305</v>
      </c>
      <c r="J221" s="27"/>
      <c r="K221" s="14"/>
    </row>
    <row r="222" spans="2:11" ht="18">
      <c r="B222" s="82" t="s">
        <v>19</v>
      </c>
      <c r="C222" s="40" t="s">
        <v>71</v>
      </c>
      <c r="D222" s="45">
        <f>49269+14000</f>
        <v>63269</v>
      </c>
      <c r="E222" s="6">
        <v>48290.93</v>
      </c>
      <c r="F222" s="45">
        <v>6052.47</v>
      </c>
      <c r="G222" s="2"/>
      <c r="H222" s="2">
        <f t="shared" si="6"/>
        <v>54343.4</v>
      </c>
      <c r="I222" s="89">
        <f t="shared" si="7"/>
        <v>85.89261723750968</v>
      </c>
      <c r="J222" s="27"/>
      <c r="K222" s="14"/>
    </row>
    <row r="223" spans="2:11" ht="18">
      <c r="B223" s="82" t="s">
        <v>20</v>
      </c>
      <c r="C223" s="40" t="s">
        <v>72</v>
      </c>
      <c r="D223" s="45">
        <v>19000</v>
      </c>
      <c r="E223" s="6">
        <v>18748.28</v>
      </c>
      <c r="F223" s="2"/>
      <c r="G223" s="2"/>
      <c r="H223" s="2">
        <f t="shared" si="6"/>
        <v>18748.28</v>
      </c>
      <c r="I223" s="89">
        <f t="shared" si="7"/>
        <v>98.67515789473683</v>
      </c>
      <c r="J223" s="27"/>
      <c r="K223" s="14"/>
    </row>
    <row r="224" spans="2:11" ht="18">
      <c r="B224" s="82" t="s">
        <v>21</v>
      </c>
      <c r="C224" s="40" t="s">
        <v>73</v>
      </c>
      <c r="D224" s="45">
        <v>34688</v>
      </c>
      <c r="E224" s="6">
        <v>34670</v>
      </c>
      <c r="F224" s="2"/>
      <c r="G224" s="2"/>
      <c r="H224" s="2">
        <f t="shared" si="6"/>
        <v>34670</v>
      </c>
      <c r="I224" s="89">
        <f t="shared" si="7"/>
        <v>99.94810885608855</v>
      </c>
      <c r="J224" s="27"/>
      <c r="K224" s="14"/>
    </row>
    <row r="225" spans="2:11" ht="18">
      <c r="B225" s="82" t="s">
        <v>22</v>
      </c>
      <c r="C225" s="80" t="s">
        <v>74</v>
      </c>
      <c r="D225" s="45">
        <f>696812.25+7000</f>
        <v>703812.25</v>
      </c>
      <c r="E225" s="6">
        <v>694514.61</v>
      </c>
      <c r="F225" s="2"/>
      <c r="G225" s="2"/>
      <c r="H225" s="2">
        <f t="shared" si="6"/>
        <v>694514.61</v>
      </c>
      <c r="I225" s="89">
        <f t="shared" si="7"/>
        <v>98.6789601914431</v>
      </c>
      <c r="J225" s="27"/>
      <c r="K225" s="14"/>
    </row>
    <row r="226" spans="2:13" s="10" customFormat="1" ht="18">
      <c r="B226" s="33"/>
      <c r="C226" s="34" t="s">
        <v>76</v>
      </c>
      <c r="D226" s="20">
        <f>D227+D228+D229+D230+D231</f>
        <v>334209035.76</v>
      </c>
      <c r="E226" s="20">
        <f>E227+E228+E229+E230+E231</f>
        <v>254330002.90000004</v>
      </c>
      <c r="F226" s="20">
        <f>F227+F228+F229+F230+F231</f>
        <v>30849104.590000004</v>
      </c>
      <c r="G226" s="20">
        <f>G227+G228+G229+G230+G231</f>
        <v>16238718.95</v>
      </c>
      <c r="H226" s="20">
        <f t="shared" si="6"/>
        <v>301417826.44</v>
      </c>
      <c r="I226" s="88">
        <f t="shared" si="7"/>
        <v>90.18841329486142</v>
      </c>
      <c r="J226" s="27"/>
      <c r="K226" s="15"/>
      <c r="L226" s="9"/>
      <c r="M226" s="9"/>
    </row>
    <row r="227" spans="2:12" ht="18">
      <c r="B227" s="26" t="s">
        <v>18</v>
      </c>
      <c r="C227" s="40" t="s">
        <v>70</v>
      </c>
      <c r="D227" s="37">
        <f aca="true" t="shared" si="8" ref="D227:E231">D11+D17+D23+D29+D35+D41+D47+D53+D59+D65+D71+D77+D83+D89+D95+D101+D107+D113+D119+D125+D131+D137+D143+D149+D155+D161+D167+D173+D179+D185+D191+D197+D203+D209+D215+D221</f>
        <v>148683977.93</v>
      </c>
      <c r="E227" s="3">
        <f t="shared" si="8"/>
        <v>144406113.23000002</v>
      </c>
      <c r="F227" s="3">
        <f aca="true" t="shared" si="9" ref="F227:G231">F11+F17+F23+F29+F35+F41+F47+F53+F59+F65+F71+F77+F83+F89+F95+F101+F107+F113+F119+F125+F131+F137+F143+F149+F155+F161+F167+F173+F179+F185+F191+F197+F203+F209+F215+F221</f>
        <v>1072432.28</v>
      </c>
      <c r="G227" s="3">
        <f t="shared" si="9"/>
        <v>958842.5900000001</v>
      </c>
      <c r="H227" s="2">
        <f t="shared" si="6"/>
        <v>146437388.10000002</v>
      </c>
      <c r="I227" s="89">
        <f t="shared" si="7"/>
        <v>98.48901686565202</v>
      </c>
      <c r="J227" s="27"/>
      <c r="K227" s="15"/>
      <c r="L227" s="5"/>
    </row>
    <row r="228" spans="2:11" ht="18">
      <c r="B228" s="26" t="s">
        <v>19</v>
      </c>
      <c r="C228" s="40" t="s">
        <v>71</v>
      </c>
      <c r="D228" s="37">
        <f t="shared" si="8"/>
        <v>28938287.44</v>
      </c>
      <c r="E228" s="37">
        <f t="shared" si="8"/>
        <v>20580800.56999999</v>
      </c>
      <c r="F228" s="37">
        <f t="shared" si="9"/>
        <v>3230199.5700000003</v>
      </c>
      <c r="G228" s="37">
        <f t="shared" si="9"/>
        <v>3040211.210000001</v>
      </c>
      <c r="H228" s="2">
        <f t="shared" si="6"/>
        <v>26851211.34999999</v>
      </c>
      <c r="I228" s="89">
        <f t="shared" si="7"/>
        <v>92.7878382771361</v>
      </c>
      <c r="J228" s="27"/>
      <c r="K228" s="15"/>
    </row>
    <row r="229" spans="2:12" ht="18">
      <c r="B229" s="26" t="s">
        <v>20</v>
      </c>
      <c r="C229" s="40" t="s">
        <v>72</v>
      </c>
      <c r="D229" s="37">
        <f t="shared" si="8"/>
        <v>8583970.36</v>
      </c>
      <c r="E229" s="37">
        <f t="shared" si="8"/>
        <v>7831754.570000001</v>
      </c>
      <c r="F229" s="37">
        <f t="shared" si="9"/>
        <v>279020.08999999997</v>
      </c>
      <c r="G229" s="37">
        <f t="shared" si="9"/>
        <v>155673.38</v>
      </c>
      <c r="H229" s="2">
        <f t="shared" si="6"/>
        <v>8266448.040000001</v>
      </c>
      <c r="I229" s="89">
        <f t="shared" si="7"/>
        <v>96.30098536360745</v>
      </c>
      <c r="J229" s="27"/>
      <c r="K229" s="15"/>
      <c r="L229" s="5"/>
    </row>
    <row r="230" spans="2:11" ht="18">
      <c r="B230" s="26" t="s">
        <v>21</v>
      </c>
      <c r="C230" s="40" t="s">
        <v>73</v>
      </c>
      <c r="D230" s="37">
        <f t="shared" si="8"/>
        <v>5499373.44</v>
      </c>
      <c r="E230" s="37">
        <f t="shared" si="8"/>
        <v>1178532.43</v>
      </c>
      <c r="F230" s="37">
        <f t="shared" si="9"/>
        <v>3280180.82</v>
      </c>
      <c r="G230" s="37">
        <f t="shared" si="9"/>
        <v>834744.6099999999</v>
      </c>
      <c r="H230" s="2">
        <f t="shared" si="6"/>
        <v>5293457.859999999</v>
      </c>
      <c r="I230" s="89">
        <f t="shared" si="7"/>
        <v>96.25565380771812</v>
      </c>
      <c r="J230" s="27"/>
      <c r="K230" s="15"/>
    </row>
    <row r="231" spans="2:11" ht="18.75" thickBot="1">
      <c r="B231" s="35" t="s">
        <v>22</v>
      </c>
      <c r="C231" s="80" t="s">
        <v>74</v>
      </c>
      <c r="D231" s="37">
        <f t="shared" si="8"/>
        <v>142503426.58999997</v>
      </c>
      <c r="E231" s="37">
        <f t="shared" si="8"/>
        <v>80332802.10000002</v>
      </c>
      <c r="F231" s="37">
        <f t="shared" si="9"/>
        <v>22987271.830000006</v>
      </c>
      <c r="G231" s="37">
        <f t="shared" si="9"/>
        <v>11249247.159999998</v>
      </c>
      <c r="H231" s="2">
        <f t="shared" si="6"/>
        <v>114569321.09000003</v>
      </c>
      <c r="I231" s="89">
        <f t="shared" si="7"/>
        <v>80.39759031172645</v>
      </c>
      <c r="J231" s="36"/>
      <c r="K231" s="15"/>
    </row>
    <row r="232" spans="4:11" ht="18" hidden="1">
      <c r="D232" s="49">
        <f>D233+D234+D235+D236+D237</f>
        <v>325618569.12</v>
      </c>
      <c r="E232" s="49">
        <f>E233+E234+E235+E236+E237</f>
        <v>246882657.75</v>
      </c>
      <c r="F232" s="49">
        <f>F233+F234+F235+F236+F237</f>
        <v>30843052.120000005</v>
      </c>
      <c r="G232" s="49">
        <f>G233+G234+G235+G236+G237</f>
        <v>16238718.95</v>
      </c>
      <c r="H232" s="49">
        <f>H233+H234+H235+H236+H237</f>
        <v>293964428.81999993</v>
      </c>
      <c r="I232" s="15">
        <f>H232/D232*100</f>
        <v>90.27876684503991</v>
      </c>
      <c r="J232" s="14"/>
      <c r="K232" s="15"/>
    </row>
    <row r="233" spans="3:11" ht="18" hidden="1">
      <c r="C233" s="40" t="s">
        <v>44</v>
      </c>
      <c r="D233" s="49">
        <f>D11+D17+D23+D29+D35+D41+D47+D53+D59+D65+D71+D77+D83+D89+D95+D101+D107+D113+D119+D125+D131+D137+D143+D149+D155+D161+D167+D173+D179+D185+D191++D197+D203</f>
        <v>145952581.19</v>
      </c>
      <c r="E233" s="49">
        <f>E11+E17+E23+E29+E35+E41+E47+E53+E59+E65+E71+E77+E83+E89+E95+E101+E107+E113+E119+E125+E131+E137+E143+E149+E155+E161+E167+E173+E179+E185+E191++E197+E203</f>
        <v>142234847.89000002</v>
      </c>
      <c r="F233" s="49">
        <f>F11+F17+F23+F29+F35+F41+F47+F53+F59+F65+F71+F77+F83+F89+F95+F101+F107+F113+F119+F125+F131+F137+F143+F149+F155+F161+F167+F173+F179+F185+F191++F197+F203</f>
        <v>1072432.28</v>
      </c>
      <c r="G233" s="49">
        <f>G11+G17+G23+G29+G35+G41+G47+G53+G59+G65+G71+G77+G83+G89+G95+G101+G107+G113+G119+G125+G131+G137+G143+G149+G155+G161+G167+G173+G179+G185+G191++G197+G203</f>
        <v>958842.5900000001</v>
      </c>
      <c r="H233" s="49">
        <f>H11+H17+H23+H29+H35+H41+H47+H53+H59+H65+H71+H77+H83+H89+H95+H101+H107+H113+H119+H125+H131+H137+H143+H149+H155+H161+H167+H173+H179+H185+H191++H197+H203</f>
        <v>144266122.76</v>
      </c>
      <c r="I233" s="15"/>
      <c r="J233" s="14"/>
      <c r="K233" s="15"/>
    </row>
    <row r="234" spans="3:11" ht="18" hidden="1">
      <c r="C234" s="40" t="s">
        <v>45</v>
      </c>
      <c r="D234" s="49">
        <f aca="true" t="shared" si="10" ref="D234:H237">D12+D18+D24+D30+D36+D42+D48+D54+D60+D66+D72+D78+D84+D90+D96+D102+D108+D114+D120+D126+D132+D138+D144+D150+D156+D162+D168+D174+D180+D186+D192+D198+D204</f>
        <v>28066866.44</v>
      </c>
      <c r="E234" s="49">
        <f t="shared" si="10"/>
        <v>19774648.269999992</v>
      </c>
      <c r="F234" s="49">
        <f t="shared" si="10"/>
        <v>3224147.1</v>
      </c>
      <c r="G234" s="49">
        <f t="shared" si="10"/>
        <v>3040211.210000001</v>
      </c>
      <c r="H234" s="49">
        <f t="shared" si="10"/>
        <v>26039006.580000002</v>
      </c>
      <c r="I234" s="15"/>
      <c r="J234" s="14"/>
      <c r="K234" s="15"/>
    </row>
    <row r="235" spans="3:11" ht="18" hidden="1">
      <c r="C235" s="40" t="s">
        <v>46</v>
      </c>
      <c r="D235" s="49">
        <f t="shared" si="10"/>
        <v>8445170.36</v>
      </c>
      <c r="E235" s="49">
        <f t="shared" si="10"/>
        <v>7768165.170000001</v>
      </c>
      <c r="F235" s="49">
        <f t="shared" si="10"/>
        <v>279020.08999999997</v>
      </c>
      <c r="G235" s="49">
        <f t="shared" si="10"/>
        <v>155673.38</v>
      </c>
      <c r="H235" s="49">
        <f t="shared" si="10"/>
        <v>8202858.64</v>
      </c>
      <c r="I235" s="15"/>
      <c r="J235" s="14"/>
      <c r="K235" s="15"/>
    </row>
    <row r="236" spans="3:11" ht="18" hidden="1">
      <c r="C236" s="40" t="s">
        <v>47</v>
      </c>
      <c r="D236" s="49">
        <f t="shared" si="10"/>
        <v>5349093.44</v>
      </c>
      <c r="E236" s="49">
        <f t="shared" si="10"/>
        <v>1028274.58</v>
      </c>
      <c r="F236" s="49">
        <f t="shared" si="10"/>
        <v>3280180.82</v>
      </c>
      <c r="G236" s="49">
        <f t="shared" si="10"/>
        <v>834744.6099999999</v>
      </c>
      <c r="H236" s="49">
        <f t="shared" si="10"/>
        <v>5143200.01</v>
      </c>
      <c r="I236" s="15"/>
      <c r="J236" s="14"/>
      <c r="K236" s="15"/>
    </row>
    <row r="237" spans="3:11" ht="18" hidden="1">
      <c r="C237" s="40" t="s">
        <v>48</v>
      </c>
      <c r="D237" s="49">
        <f t="shared" si="10"/>
        <v>137804857.68999997</v>
      </c>
      <c r="E237" s="49">
        <f t="shared" si="10"/>
        <v>76076721.84000002</v>
      </c>
      <c r="F237" s="49">
        <f t="shared" si="10"/>
        <v>22987271.830000006</v>
      </c>
      <c r="G237" s="49">
        <f t="shared" si="10"/>
        <v>11249247.159999998</v>
      </c>
      <c r="H237" s="49">
        <f t="shared" si="10"/>
        <v>110313240.82999998</v>
      </c>
      <c r="I237" s="15"/>
      <c r="J237" s="14"/>
      <c r="K237" s="15"/>
    </row>
    <row r="238" spans="4:11" ht="18" hidden="1">
      <c r="D238" s="49"/>
      <c r="E238" s="5"/>
      <c r="F238" s="49"/>
      <c r="G238" s="49"/>
      <c r="H238" s="15"/>
      <c r="I238" s="15"/>
      <c r="J238" s="14"/>
      <c r="K238" s="15"/>
    </row>
    <row r="239" spans="4:11" ht="18" hidden="1">
      <c r="D239" s="49"/>
      <c r="E239" s="5"/>
      <c r="H239" s="15"/>
      <c r="I239" s="15"/>
      <c r="J239" s="14"/>
      <c r="K239" s="15"/>
    </row>
    <row r="240" spans="5:11" ht="18" hidden="1">
      <c r="E240" s="5"/>
      <c r="H240" s="15"/>
      <c r="I240" s="15"/>
      <c r="J240" s="14"/>
      <c r="K240" s="15"/>
    </row>
    <row r="241" spans="4:11" ht="18" hidden="1">
      <c r="D241" s="49"/>
      <c r="E241" s="5"/>
      <c r="H241" s="15"/>
      <c r="I241" s="15"/>
      <c r="J241" s="14"/>
      <c r="K241" s="15"/>
    </row>
    <row r="242" spans="5:11" ht="18" hidden="1">
      <c r="E242" s="5"/>
      <c r="H242" s="15"/>
      <c r="I242" s="15"/>
      <c r="J242" s="14"/>
      <c r="K242" s="15"/>
    </row>
    <row r="243" spans="3:11" ht="27" customHeight="1" hidden="1">
      <c r="C243" s="52"/>
      <c r="D243" s="52"/>
      <c r="E243" s="53"/>
      <c r="F243" s="5"/>
      <c r="G243" s="39"/>
      <c r="H243" s="18"/>
      <c r="I243" s="18"/>
      <c r="J243" s="77"/>
      <c r="K243" s="14"/>
    </row>
    <row r="244" spans="3:8" ht="12.75" hidden="1">
      <c r="C244" s="7"/>
      <c r="D244" s="7"/>
      <c r="H244" s="5"/>
    </row>
    <row r="245" ht="12.75" hidden="1">
      <c r="E245" s="5"/>
    </row>
    <row r="246" spans="5:8" ht="12.75" hidden="1">
      <c r="E246" s="5"/>
      <c r="G246" s="5"/>
      <c r="H246" s="5"/>
    </row>
    <row r="247" ht="12.75">
      <c r="E247" s="5"/>
    </row>
    <row r="248" ht="12.75">
      <c r="E248" s="5"/>
    </row>
    <row r="249" ht="12.75">
      <c r="E249" s="5"/>
    </row>
    <row r="251" ht="12.75">
      <c r="E251" s="5"/>
    </row>
  </sheetData>
  <sheetProtection/>
  <autoFilter ref="B9:I237"/>
  <mergeCells count="10">
    <mergeCell ref="J6:J7"/>
    <mergeCell ref="C1:E1"/>
    <mergeCell ref="C2:E2"/>
    <mergeCell ref="B5:J5"/>
    <mergeCell ref="B6:B7"/>
    <mergeCell ref="C6:C7"/>
    <mergeCell ref="D6:D7"/>
    <mergeCell ref="E6:G6"/>
    <mergeCell ref="H6:H7"/>
    <mergeCell ref="I6:I7"/>
  </mergeCells>
  <printOptions/>
  <pageMargins left="0.2" right="0.2" top="0.18" bottom="0.19" header="0.17" footer="0.19"/>
  <pageSetup horizontalDpi="600" verticalDpi="600" orientation="landscape" paperSize="8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B234"/>
  <sheetViews>
    <sheetView zoomScalePageLayoutView="0" workbookViewId="0" topLeftCell="B2">
      <selection activeCell="C76" sqref="B5:K220"/>
    </sheetView>
  </sheetViews>
  <sheetFormatPr defaultColWidth="9.140625" defaultRowHeight="12.75"/>
  <cols>
    <col min="1" max="1" width="2.00390625" style="1" hidden="1" customWidth="1"/>
    <col min="2" max="2" width="6.140625" style="1" customWidth="1"/>
    <col min="3" max="3" width="34.421875" style="1" customWidth="1"/>
    <col min="4" max="4" width="19.28125" style="1" hidden="1" customWidth="1"/>
    <col min="5" max="5" width="17.8515625" style="1" hidden="1" customWidth="1"/>
    <col min="6" max="6" width="17.57421875" style="1" hidden="1" customWidth="1"/>
    <col min="7" max="7" width="16.8515625" style="1" hidden="1" customWidth="1"/>
    <col min="8" max="8" width="22.28125" style="1" hidden="1" customWidth="1"/>
    <col min="9" max="9" width="16.7109375" style="1" customWidth="1"/>
    <col min="10" max="10" width="0.13671875" style="1" hidden="1" customWidth="1"/>
    <col min="11" max="11" width="21.140625" style="1" customWidth="1"/>
    <col min="12" max="12" width="26.421875" style="1" customWidth="1"/>
    <col min="13" max="13" width="18.28125" style="1" bestFit="1" customWidth="1"/>
    <col min="14" max="16384" width="9.140625" style="1" customWidth="1"/>
  </cols>
  <sheetData>
    <row r="1" spans="3:8" ht="27" customHeight="1">
      <c r="C1" s="93" t="s">
        <v>56</v>
      </c>
      <c r="D1" s="93"/>
      <c r="E1" s="93"/>
      <c r="F1" s="55"/>
      <c r="G1" s="50"/>
      <c r="H1" s="11"/>
    </row>
    <row r="2" spans="3:9" ht="12" customHeight="1">
      <c r="C2" s="93" t="s">
        <v>57</v>
      </c>
      <c r="D2" s="93"/>
      <c r="E2" s="93"/>
      <c r="F2" s="56"/>
      <c r="G2" s="51"/>
      <c r="H2" s="57"/>
      <c r="I2" s="58"/>
    </row>
    <row r="3" spans="3:13" ht="12.75" customHeight="1">
      <c r="C3" s="59" t="s">
        <v>115</v>
      </c>
      <c r="D3" s="59"/>
      <c r="E3" s="60"/>
      <c r="G3" s="61"/>
      <c r="H3" s="62"/>
      <c r="I3" s="63"/>
      <c r="J3" s="63"/>
      <c r="K3" s="63"/>
      <c r="L3" s="63"/>
      <c r="M3" s="63"/>
    </row>
    <row r="4" spans="2:10" ht="13.5" thickBot="1">
      <c r="B4" s="64"/>
      <c r="C4" s="64"/>
      <c r="D4" s="64"/>
      <c r="E4" s="64"/>
      <c r="F4" s="65"/>
      <c r="G4" s="64"/>
      <c r="H4" s="64"/>
      <c r="I4" s="64"/>
      <c r="J4" s="64"/>
    </row>
    <row r="5" spans="2:21" ht="40.5" customHeight="1">
      <c r="B5" s="99" t="s">
        <v>116</v>
      </c>
      <c r="C5" s="100"/>
      <c r="D5" s="100"/>
      <c r="E5" s="100"/>
      <c r="F5" s="100"/>
      <c r="G5" s="100"/>
      <c r="H5" s="100"/>
      <c r="I5" s="100"/>
      <c r="J5" s="101"/>
      <c r="U5" s="1" t="s">
        <v>51</v>
      </c>
    </row>
    <row r="6" spans="2:10" ht="23.25" customHeight="1">
      <c r="B6" s="92" t="s">
        <v>111</v>
      </c>
      <c r="C6" s="97" t="s">
        <v>112</v>
      </c>
      <c r="D6" s="92" t="s">
        <v>54</v>
      </c>
      <c r="E6" s="98" t="s">
        <v>52</v>
      </c>
      <c r="F6" s="98"/>
      <c r="G6" s="98"/>
      <c r="H6" s="92" t="s">
        <v>53</v>
      </c>
      <c r="I6" s="102" t="s">
        <v>68</v>
      </c>
      <c r="J6" s="92" t="s">
        <v>1</v>
      </c>
    </row>
    <row r="7" spans="2:11" ht="39.75" customHeight="1">
      <c r="B7" s="92"/>
      <c r="C7" s="97"/>
      <c r="D7" s="92"/>
      <c r="E7" s="66" t="s">
        <v>49</v>
      </c>
      <c r="F7" s="66" t="s">
        <v>50</v>
      </c>
      <c r="G7" s="66" t="s">
        <v>55</v>
      </c>
      <c r="H7" s="92"/>
      <c r="I7" s="103"/>
      <c r="J7" s="92"/>
      <c r="K7" s="14"/>
    </row>
    <row r="8" spans="2:11" ht="85.5" customHeight="1" hidden="1">
      <c r="B8" s="32" t="s">
        <v>0</v>
      </c>
      <c r="C8" s="67" t="s">
        <v>1</v>
      </c>
      <c r="D8" s="68"/>
      <c r="E8" s="68" t="s">
        <v>41</v>
      </c>
      <c r="F8" s="68" t="s">
        <v>41</v>
      </c>
      <c r="G8" s="68" t="s">
        <v>41</v>
      </c>
      <c r="H8" s="68" t="s">
        <v>42</v>
      </c>
      <c r="I8" s="68"/>
      <c r="J8" s="69"/>
      <c r="K8" s="14"/>
    </row>
    <row r="9" spans="2:11" ht="14.25" customHeight="1">
      <c r="B9" s="70">
        <v>1</v>
      </c>
      <c r="C9" s="71">
        <v>2</v>
      </c>
      <c r="D9" s="70">
        <v>3</v>
      </c>
      <c r="E9" s="71">
        <v>4</v>
      </c>
      <c r="F9" s="70">
        <v>5</v>
      </c>
      <c r="G9" s="71">
        <v>6</v>
      </c>
      <c r="H9" s="70">
        <v>7</v>
      </c>
      <c r="I9" s="71">
        <v>8</v>
      </c>
      <c r="J9" s="70">
        <v>9</v>
      </c>
      <c r="K9" s="14"/>
    </row>
    <row r="10" spans="2:11" s="8" customFormat="1" ht="18">
      <c r="B10" s="19">
        <v>1</v>
      </c>
      <c r="C10" s="78" t="s">
        <v>69</v>
      </c>
      <c r="D10" s="20">
        <f>D11+D12+D13+D14+D15</f>
        <v>6500280</v>
      </c>
      <c r="E10" s="20">
        <f>E11+E12+E13+E14+E15</f>
        <v>1145608.74</v>
      </c>
      <c r="F10" s="20">
        <f>F11+F12+F13+F14+F15</f>
        <v>17680.92</v>
      </c>
      <c r="G10" s="20">
        <f>G11+G12+G13+G14+G15</f>
        <v>0</v>
      </c>
      <c r="H10" s="20">
        <f aca="true" t="shared" si="0" ref="H10:H73">E10+F10+G10</f>
        <v>1163289.66</v>
      </c>
      <c r="I10" s="43">
        <v>98</v>
      </c>
      <c r="J10" s="72" t="s">
        <v>34</v>
      </c>
      <c r="K10" s="14"/>
    </row>
    <row r="11" spans="2:11" ht="18" hidden="1">
      <c r="B11" s="21" t="s">
        <v>18</v>
      </c>
      <c r="C11" s="40" t="s">
        <v>44</v>
      </c>
      <c r="D11" s="23">
        <v>3928774</v>
      </c>
      <c r="E11" s="23">
        <v>991174.11</v>
      </c>
      <c r="F11" s="23">
        <v>2756.26</v>
      </c>
      <c r="G11" s="23"/>
      <c r="H11" s="2">
        <f t="shared" si="0"/>
        <v>993930.37</v>
      </c>
      <c r="I11" s="54">
        <f aca="true" t="shared" si="1" ref="I11:I74">H11/D11*100</f>
        <v>25.298741286722016</v>
      </c>
      <c r="J11" s="24"/>
      <c r="K11" s="14"/>
    </row>
    <row r="12" spans="2:11" ht="18" hidden="1">
      <c r="B12" s="21" t="s">
        <v>19</v>
      </c>
      <c r="C12" s="40" t="s">
        <v>45</v>
      </c>
      <c r="D12" s="23">
        <v>752131</v>
      </c>
      <c r="E12" s="44">
        <v>105049.46</v>
      </c>
      <c r="F12" s="23">
        <v>823</v>
      </c>
      <c r="G12" s="23"/>
      <c r="H12" s="2">
        <f t="shared" si="0"/>
        <v>105872.46</v>
      </c>
      <c r="I12" s="54">
        <f t="shared" si="1"/>
        <v>14.076332447406104</v>
      </c>
      <c r="J12" s="24"/>
      <c r="K12" s="14"/>
    </row>
    <row r="13" spans="2:11" ht="18" hidden="1">
      <c r="B13" s="21" t="s">
        <v>20</v>
      </c>
      <c r="C13" s="40" t="s">
        <v>46</v>
      </c>
      <c r="D13" s="23">
        <v>145051</v>
      </c>
      <c r="E13" s="23">
        <v>49385.17</v>
      </c>
      <c r="F13" s="23"/>
      <c r="G13" s="23"/>
      <c r="H13" s="2">
        <f t="shared" si="0"/>
        <v>49385.17</v>
      </c>
      <c r="I13" s="54">
        <f t="shared" si="1"/>
        <v>34.04676286271725</v>
      </c>
      <c r="J13" s="24"/>
      <c r="K13" s="15"/>
    </row>
    <row r="14" spans="2:11" ht="18" hidden="1">
      <c r="B14" s="21" t="s">
        <v>21</v>
      </c>
      <c r="C14" s="40" t="s">
        <v>47</v>
      </c>
      <c r="D14" s="23">
        <v>72709</v>
      </c>
      <c r="E14" s="23"/>
      <c r="F14" s="23">
        <v>14101.66</v>
      </c>
      <c r="G14" s="23"/>
      <c r="H14" s="2">
        <f t="shared" si="0"/>
        <v>14101.66</v>
      </c>
      <c r="I14" s="54">
        <f t="shared" si="1"/>
        <v>19.39465540717105</v>
      </c>
      <c r="J14" s="24"/>
      <c r="K14" s="14"/>
    </row>
    <row r="15" spans="2:11" ht="18" hidden="1">
      <c r="B15" s="21" t="s">
        <v>22</v>
      </c>
      <c r="C15" s="40" t="s">
        <v>48</v>
      </c>
      <c r="D15" s="23">
        <v>1601615</v>
      </c>
      <c r="E15" s="23"/>
      <c r="F15" s="23"/>
      <c r="G15" s="23"/>
      <c r="H15" s="2">
        <f t="shared" si="0"/>
        <v>0</v>
      </c>
      <c r="I15" s="54">
        <f t="shared" si="1"/>
        <v>0</v>
      </c>
      <c r="J15" s="24"/>
      <c r="K15" s="15"/>
    </row>
    <row r="16" spans="2:11" s="8" customFormat="1" ht="18">
      <c r="B16" s="19">
        <v>2</v>
      </c>
      <c r="C16" s="78" t="s">
        <v>109</v>
      </c>
      <c r="D16" s="20">
        <f>D17+D18+D19+D20+D21</f>
        <v>4055629</v>
      </c>
      <c r="E16" s="20">
        <f>E17+E18+E19+E20+E21</f>
        <v>642776.1300000001</v>
      </c>
      <c r="F16" s="20">
        <f>F17+F18+F19+F20+F21</f>
        <v>0</v>
      </c>
      <c r="G16" s="20">
        <f>G17+G18+G19+G20+G21</f>
        <v>83778.85</v>
      </c>
      <c r="H16" s="20">
        <f t="shared" si="0"/>
        <v>726554.9800000001</v>
      </c>
      <c r="I16" s="43">
        <v>96</v>
      </c>
      <c r="J16" s="72" t="s">
        <v>2</v>
      </c>
      <c r="K16" s="14"/>
    </row>
    <row r="17" spans="2:12" ht="18" hidden="1">
      <c r="B17" s="21" t="s">
        <v>18</v>
      </c>
      <c r="C17" s="40" t="s">
        <v>44</v>
      </c>
      <c r="D17" s="23">
        <v>2117928</v>
      </c>
      <c r="E17" s="23">
        <v>535866.79</v>
      </c>
      <c r="F17" s="23"/>
      <c r="G17" s="23"/>
      <c r="H17" s="2">
        <f t="shared" si="0"/>
        <v>535866.79</v>
      </c>
      <c r="I17" s="54">
        <f t="shared" si="1"/>
        <v>25.30146397800114</v>
      </c>
      <c r="J17" s="24"/>
      <c r="K17" s="14"/>
      <c r="L17" s="5"/>
    </row>
    <row r="18" spans="2:12" ht="18" hidden="1">
      <c r="B18" s="21" t="s">
        <v>19</v>
      </c>
      <c r="C18" s="40" t="s">
        <v>45</v>
      </c>
      <c r="D18" s="23">
        <v>393832</v>
      </c>
      <c r="E18" s="23">
        <v>64584.17</v>
      </c>
      <c r="F18" s="23"/>
      <c r="G18" s="23">
        <v>58050.45</v>
      </c>
      <c r="H18" s="2">
        <f t="shared" si="0"/>
        <v>122634.62</v>
      </c>
      <c r="I18" s="54">
        <f t="shared" si="1"/>
        <v>31.138815535558308</v>
      </c>
      <c r="J18" s="24"/>
      <c r="K18" s="15"/>
      <c r="L18" s="5"/>
    </row>
    <row r="19" spans="2:11" ht="18" hidden="1">
      <c r="B19" s="21" t="s">
        <v>20</v>
      </c>
      <c r="C19" s="40" t="s">
        <v>46</v>
      </c>
      <c r="D19" s="23">
        <v>162000</v>
      </c>
      <c r="E19" s="23">
        <v>32925.17</v>
      </c>
      <c r="F19" s="23"/>
      <c r="G19" s="23"/>
      <c r="H19" s="2">
        <f t="shared" si="0"/>
        <v>32925.17</v>
      </c>
      <c r="I19" s="54">
        <f t="shared" si="1"/>
        <v>20.324179012345677</v>
      </c>
      <c r="J19" s="24"/>
      <c r="K19" s="14"/>
    </row>
    <row r="20" spans="2:11" ht="18" hidden="1">
      <c r="B20" s="21" t="s">
        <v>21</v>
      </c>
      <c r="C20" s="40" t="s">
        <v>47</v>
      </c>
      <c r="D20" s="23">
        <f>3975+24098+5000+6025</f>
        <v>39098</v>
      </c>
      <c r="E20" s="23">
        <v>9400</v>
      </c>
      <c r="F20" s="23"/>
      <c r="G20" s="23"/>
      <c r="H20" s="2">
        <f t="shared" si="0"/>
        <v>9400</v>
      </c>
      <c r="I20" s="54">
        <f t="shared" si="1"/>
        <v>24.042150493631386</v>
      </c>
      <c r="J20" s="24"/>
      <c r="K20" s="14"/>
    </row>
    <row r="21" spans="2:11" ht="18" hidden="1">
      <c r="B21" s="21" t="s">
        <v>22</v>
      </c>
      <c r="C21" s="40" t="s">
        <v>48</v>
      </c>
      <c r="D21" s="23">
        <v>1342771</v>
      </c>
      <c r="E21" s="23"/>
      <c r="F21" s="23"/>
      <c r="G21" s="23">
        <v>25728.4</v>
      </c>
      <c r="H21" s="2">
        <f t="shared" si="0"/>
        <v>25728.4</v>
      </c>
      <c r="I21" s="54">
        <f t="shared" si="1"/>
        <v>1.9160675945488845</v>
      </c>
      <c r="J21" s="24"/>
      <c r="K21" s="14"/>
    </row>
    <row r="22" spans="2:11" s="8" customFormat="1" ht="18">
      <c r="B22" s="19">
        <v>3</v>
      </c>
      <c r="C22" s="78" t="s">
        <v>75</v>
      </c>
      <c r="D22" s="20">
        <f>D23+D24+D25+D26+D27</f>
        <v>7850225</v>
      </c>
      <c r="E22" s="20">
        <f>E23+E24+E25+E26+E27</f>
        <v>1209184.5100000002</v>
      </c>
      <c r="F22" s="20">
        <f>F23+F24+F25+F26+F27</f>
        <v>12391.02</v>
      </c>
      <c r="G22" s="20">
        <f>G23+G24+G25+G26+G27</f>
        <v>13827.68</v>
      </c>
      <c r="H22" s="20">
        <f t="shared" si="0"/>
        <v>1235403.2100000002</v>
      </c>
      <c r="I22" s="43">
        <v>93</v>
      </c>
      <c r="J22" s="72" t="s">
        <v>33</v>
      </c>
      <c r="K22" s="18"/>
    </row>
    <row r="23" spans="2:11" ht="18" hidden="1">
      <c r="B23" s="21" t="s">
        <v>18</v>
      </c>
      <c r="C23" s="40" t="s">
        <v>44</v>
      </c>
      <c r="D23" s="23">
        <v>4459594</v>
      </c>
      <c r="E23" s="23">
        <v>1112454.86</v>
      </c>
      <c r="F23" s="23"/>
      <c r="G23" s="23"/>
      <c r="H23" s="2">
        <f t="shared" si="0"/>
        <v>1112454.86</v>
      </c>
      <c r="I23" s="54">
        <f t="shared" si="1"/>
        <v>24.945204877394673</v>
      </c>
      <c r="J23" s="24"/>
      <c r="K23" s="15"/>
    </row>
    <row r="24" spans="2:12" ht="18" hidden="1">
      <c r="B24" s="21" t="s">
        <v>19</v>
      </c>
      <c r="C24" s="40" t="s">
        <v>45</v>
      </c>
      <c r="D24" s="23">
        <v>843166</v>
      </c>
      <c r="E24" s="48">
        <v>77217.07</v>
      </c>
      <c r="F24" s="22">
        <v>2355.02</v>
      </c>
      <c r="G24" s="23">
        <v>107.5</v>
      </c>
      <c r="H24" s="2">
        <f t="shared" si="0"/>
        <v>79679.59000000001</v>
      </c>
      <c r="I24" s="54">
        <f t="shared" si="1"/>
        <v>9.450047796044908</v>
      </c>
      <c r="J24" s="24"/>
      <c r="K24" s="15"/>
      <c r="L24" s="5"/>
    </row>
    <row r="25" spans="2:11" ht="18" hidden="1">
      <c r="B25" s="21" t="s">
        <v>20</v>
      </c>
      <c r="C25" s="40" t="s">
        <v>46</v>
      </c>
      <c r="D25" s="23">
        <v>142311</v>
      </c>
      <c r="E25" s="47">
        <v>19512.58</v>
      </c>
      <c r="F25" s="23"/>
      <c r="G25" s="23">
        <v>402.9</v>
      </c>
      <c r="H25" s="2">
        <f t="shared" si="0"/>
        <v>19915.480000000003</v>
      </c>
      <c r="I25" s="54">
        <f t="shared" si="1"/>
        <v>13.994336347857864</v>
      </c>
      <c r="J25" s="24"/>
      <c r="K25" s="14"/>
    </row>
    <row r="26" spans="2:11" ht="18" hidden="1">
      <c r="B26" s="21" t="s">
        <v>21</v>
      </c>
      <c r="C26" s="40" t="s">
        <v>47</v>
      </c>
      <c r="D26" s="23">
        <v>80000</v>
      </c>
      <c r="E26" s="23"/>
      <c r="F26" s="23">
        <v>10036</v>
      </c>
      <c r="G26" s="23"/>
      <c r="H26" s="2">
        <f t="shared" si="0"/>
        <v>10036</v>
      </c>
      <c r="I26" s="54">
        <f t="shared" si="1"/>
        <v>12.545</v>
      </c>
      <c r="J26" s="24"/>
      <c r="K26" s="14"/>
    </row>
    <row r="27" spans="2:11" ht="18" hidden="1">
      <c r="B27" s="21" t="s">
        <v>22</v>
      </c>
      <c r="C27" s="40" t="s">
        <v>48</v>
      </c>
      <c r="D27" s="23">
        <v>2325154</v>
      </c>
      <c r="E27" s="47"/>
      <c r="F27" s="23"/>
      <c r="G27" s="23">
        <v>13317.28</v>
      </c>
      <c r="H27" s="2">
        <f t="shared" si="0"/>
        <v>13317.28</v>
      </c>
      <c r="I27" s="54">
        <f t="shared" si="1"/>
        <v>0.5727482996825157</v>
      </c>
      <c r="J27" s="24"/>
      <c r="K27" s="14"/>
    </row>
    <row r="28" spans="2:11" s="8" customFormat="1" ht="18">
      <c r="B28" s="19">
        <v>4</v>
      </c>
      <c r="C28" s="78" t="s">
        <v>107</v>
      </c>
      <c r="D28" s="20">
        <f>D29+D30+D31+D32+D33</f>
        <v>3135493</v>
      </c>
      <c r="E28" s="20">
        <f>E29+E30+E31+E32+E33</f>
        <v>511783.67999999993</v>
      </c>
      <c r="F28" s="20">
        <f>F29+F30+F31+F32+F33</f>
        <v>0</v>
      </c>
      <c r="G28" s="20">
        <f>G29+G30+G31+G32+G33</f>
        <v>0</v>
      </c>
      <c r="H28" s="20">
        <f t="shared" si="0"/>
        <v>511783.67999999993</v>
      </c>
      <c r="I28" s="43">
        <v>94</v>
      </c>
      <c r="J28" s="72" t="s">
        <v>32</v>
      </c>
      <c r="K28" s="14"/>
    </row>
    <row r="29" spans="2:11" ht="18" hidden="1">
      <c r="B29" s="21" t="s">
        <v>18</v>
      </c>
      <c r="C29" s="40" t="s">
        <v>44</v>
      </c>
      <c r="D29" s="23">
        <v>1800402</v>
      </c>
      <c r="E29" s="23">
        <v>451867.74</v>
      </c>
      <c r="F29" s="23"/>
      <c r="G29" s="23"/>
      <c r="H29" s="2">
        <f t="shared" si="0"/>
        <v>451867.74</v>
      </c>
      <c r="I29" s="54">
        <f t="shared" si="1"/>
        <v>25.098158078029243</v>
      </c>
      <c r="J29" s="24"/>
      <c r="K29" s="15"/>
    </row>
    <row r="30" spans="2:11" ht="18" hidden="1">
      <c r="B30" s="21" t="s">
        <v>19</v>
      </c>
      <c r="C30" s="40" t="s">
        <v>45</v>
      </c>
      <c r="D30" s="23">
        <v>239831</v>
      </c>
      <c r="E30" s="23">
        <v>35765.84</v>
      </c>
      <c r="F30" s="23"/>
      <c r="G30" s="23"/>
      <c r="H30" s="2">
        <f t="shared" si="0"/>
        <v>35765.84</v>
      </c>
      <c r="I30" s="54">
        <f t="shared" si="1"/>
        <v>14.912934524727827</v>
      </c>
      <c r="J30" s="24"/>
      <c r="K30" s="14"/>
    </row>
    <row r="31" spans="2:11" ht="18" hidden="1">
      <c r="B31" s="21" t="s">
        <v>20</v>
      </c>
      <c r="C31" s="40" t="s">
        <v>46</v>
      </c>
      <c r="D31" s="23">
        <v>76000</v>
      </c>
      <c r="E31" s="23">
        <v>17598.1</v>
      </c>
      <c r="F31" s="23"/>
      <c r="G31" s="23"/>
      <c r="H31" s="2">
        <f t="shared" si="0"/>
        <v>17598.1</v>
      </c>
      <c r="I31" s="54">
        <f t="shared" si="1"/>
        <v>23.1553947368421</v>
      </c>
      <c r="J31" s="24"/>
      <c r="K31" s="14"/>
    </row>
    <row r="32" spans="2:11" ht="18" hidden="1">
      <c r="B32" s="21" t="s">
        <v>21</v>
      </c>
      <c r="C32" s="40" t="s">
        <v>47</v>
      </c>
      <c r="D32" s="23">
        <v>38500</v>
      </c>
      <c r="E32" s="23">
        <v>6552</v>
      </c>
      <c r="F32" s="23"/>
      <c r="G32" s="23"/>
      <c r="H32" s="2">
        <f t="shared" si="0"/>
        <v>6552</v>
      </c>
      <c r="I32" s="54">
        <f t="shared" si="1"/>
        <v>17.01818181818182</v>
      </c>
      <c r="J32" s="24"/>
      <c r="K32" s="14"/>
    </row>
    <row r="33" spans="2:11" ht="18" hidden="1">
      <c r="B33" s="21" t="s">
        <v>22</v>
      </c>
      <c r="C33" s="40" t="s">
        <v>48</v>
      </c>
      <c r="D33" s="23">
        <v>980760</v>
      </c>
      <c r="E33" s="23"/>
      <c r="F33" s="23"/>
      <c r="G33" s="23"/>
      <c r="H33" s="2">
        <f t="shared" si="0"/>
        <v>0</v>
      </c>
      <c r="I33" s="54">
        <f t="shared" si="1"/>
        <v>0</v>
      </c>
      <c r="J33" s="24"/>
      <c r="K33" s="14"/>
    </row>
    <row r="34" spans="2:11" s="8" customFormat="1" ht="18">
      <c r="B34" s="19">
        <v>5</v>
      </c>
      <c r="C34" s="78" t="s">
        <v>106</v>
      </c>
      <c r="D34" s="20">
        <f>D35+D36+D37+D38+D39</f>
        <v>11151357</v>
      </c>
      <c r="E34" s="20">
        <f>E35+E36+E37+E38+E39</f>
        <v>1674794.49</v>
      </c>
      <c r="F34" s="20">
        <f>F35+F36+F37+F38+F39</f>
        <v>30640.91</v>
      </c>
      <c r="G34" s="20">
        <f>G35+G36+G37+G38+G39</f>
        <v>0</v>
      </c>
      <c r="H34" s="20">
        <f>H35+H36+H37+H38+H39</f>
        <v>1705435.4</v>
      </c>
      <c r="I34" s="43">
        <v>96</v>
      </c>
      <c r="J34" s="72" t="s">
        <v>3</v>
      </c>
      <c r="K34" s="15"/>
    </row>
    <row r="35" spans="2:11" ht="18" hidden="1">
      <c r="B35" s="21" t="s">
        <v>18</v>
      </c>
      <c r="C35" s="40" t="s">
        <v>44</v>
      </c>
      <c r="D35" s="23">
        <v>5710775</v>
      </c>
      <c r="E35" s="23">
        <v>1427577.97</v>
      </c>
      <c r="F35" s="23">
        <v>4699.41</v>
      </c>
      <c r="G35" s="23"/>
      <c r="H35" s="2">
        <f t="shared" si="0"/>
        <v>1432277.38</v>
      </c>
      <c r="I35" s="54">
        <f t="shared" si="1"/>
        <v>25.08026283648016</v>
      </c>
      <c r="J35" s="24"/>
      <c r="K35" s="15"/>
    </row>
    <row r="36" spans="2:11" ht="18" hidden="1">
      <c r="B36" s="21" t="s">
        <v>19</v>
      </c>
      <c r="C36" s="40" t="s">
        <v>45</v>
      </c>
      <c r="D36" s="23">
        <v>872179</v>
      </c>
      <c r="E36" s="23">
        <v>161982.84</v>
      </c>
      <c r="F36" s="23">
        <v>2221.5</v>
      </c>
      <c r="G36" s="23"/>
      <c r="H36" s="2">
        <f t="shared" si="0"/>
        <v>164204.34</v>
      </c>
      <c r="I36" s="54">
        <f t="shared" si="1"/>
        <v>18.826908237873187</v>
      </c>
      <c r="J36" s="24"/>
      <c r="K36" s="15"/>
    </row>
    <row r="37" spans="2:11" ht="18" hidden="1">
      <c r="B37" s="21" t="s">
        <v>20</v>
      </c>
      <c r="C37" s="40" t="s">
        <v>46</v>
      </c>
      <c r="D37" s="23">
        <v>292071</v>
      </c>
      <c r="E37" s="23">
        <v>66133.68</v>
      </c>
      <c r="F37" s="23"/>
      <c r="G37" s="23"/>
      <c r="H37" s="2">
        <f t="shared" si="0"/>
        <v>66133.68</v>
      </c>
      <c r="I37" s="54">
        <f t="shared" si="1"/>
        <v>22.6430148833674</v>
      </c>
      <c r="J37" s="24"/>
      <c r="K37" s="14"/>
    </row>
    <row r="38" spans="2:11" ht="18" hidden="1">
      <c r="B38" s="21" t="s">
        <v>21</v>
      </c>
      <c r="C38" s="40" t="s">
        <v>47</v>
      </c>
      <c r="D38" s="23">
        <f>60000+5000</f>
        <v>65000</v>
      </c>
      <c r="E38" s="23"/>
      <c r="F38" s="23">
        <v>23720</v>
      </c>
      <c r="G38" s="23"/>
      <c r="H38" s="2">
        <f t="shared" si="0"/>
        <v>23720</v>
      </c>
      <c r="I38" s="54">
        <f t="shared" si="1"/>
        <v>36.49230769230769</v>
      </c>
      <c r="J38" s="24"/>
      <c r="K38" s="14"/>
    </row>
    <row r="39" spans="2:11" ht="18" hidden="1">
      <c r="B39" s="21" t="s">
        <v>22</v>
      </c>
      <c r="C39" s="40" t="s">
        <v>48</v>
      </c>
      <c r="D39" s="23">
        <v>4211332</v>
      </c>
      <c r="E39" s="23">
        <v>19100</v>
      </c>
      <c r="F39" s="23"/>
      <c r="G39" s="23"/>
      <c r="H39" s="2">
        <f t="shared" si="0"/>
        <v>19100</v>
      </c>
      <c r="I39" s="54">
        <f t="shared" si="1"/>
        <v>0.45353821546247125</v>
      </c>
      <c r="J39" s="24"/>
      <c r="K39" s="14"/>
    </row>
    <row r="40" spans="2:11" s="8" customFormat="1" ht="18">
      <c r="B40" s="19">
        <v>6</v>
      </c>
      <c r="C40" s="78" t="s">
        <v>117</v>
      </c>
      <c r="D40" s="20">
        <f>D41+D42+D43+D44+D45</f>
        <v>42516333</v>
      </c>
      <c r="E40" s="25">
        <f>E41+E42+E43+E44+E45</f>
        <v>4673351.53</v>
      </c>
      <c r="F40" s="25">
        <f>F41+F42+F43+F44+F45</f>
        <v>197759.74</v>
      </c>
      <c r="G40" s="25">
        <f>G41+G42+G43+G44+G45</f>
        <v>27657.36</v>
      </c>
      <c r="H40" s="25">
        <f>H41+H42+H43+H44+H45</f>
        <v>4898768.63</v>
      </c>
      <c r="I40" s="43">
        <v>74</v>
      </c>
      <c r="J40" s="73" t="s">
        <v>4</v>
      </c>
      <c r="K40" s="14"/>
    </row>
    <row r="41" spans="2:11" ht="18" hidden="1">
      <c r="B41" s="26" t="s">
        <v>18</v>
      </c>
      <c r="C41" s="40" t="s">
        <v>44</v>
      </c>
      <c r="D41" s="3">
        <v>14377325</v>
      </c>
      <c r="E41" s="3">
        <v>3603500.47</v>
      </c>
      <c r="F41" s="3"/>
      <c r="G41" s="3"/>
      <c r="H41" s="2">
        <f t="shared" si="0"/>
        <v>3603500.47</v>
      </c>
      <c r="I41" s="54">
        <f t="shared" si="1"/>
        <v>25.06377556325673</v>
      </c>
      <c r="J41" s="27"/>
      <c r="K41" s="15"/>
    </row>
    <row r="42" spans="2:11" ht="18" hidden="1">
      <c r="B42" s="26" t="s">
        <v>19</v>
      </c>
      <c r="C42" s="40" t="s">
        <v>45</v>
      </c>
      <c r="D42" s="3">
        <v>4254969</v>
      </c>
      <c r="E42" s="3">
        <v>549274.39</v>
      </c>
      <c r="F42" s="3">
        <v>83759.79</v>
      </c>
      <c r="G42" s="42"/>
      <c r="H42" s="2">
        <f t="shared" si="0"/>
        <v>633034.18</v>
      </c>
      <c r="I42" s="54">
        <f t="shared" si="1"/>
        <v>14.877527427344361</v>
      </c>
      <c r="J42" s="27"/>
      <c r="K42" s="14"/>
    </row>
    <row r="43" spans="2:11" ht="18" hidden="1">
      <c r="B43" s="26" t="s">
        <v>20</v>
      </c>
      <c r="C43" s="40" t="s">
        <v>46</v>
      </c>
      <c r="D43" s="3">
        <v>2694872</v>
      </c>
      <c r="E43" s="3">
        <v>520576.67</v>
      </c>
      <c r="F43" s="3"/>
      <c r="G43" s="3"/>
      <c r="H43" s="2">
        <f t="shared" si="0"/>
        <v>520576.67</v>
      </c>
      <c r="I43" s="54">
        <f t="shared" si="1"/>
        <v>19.317305979653206</v>
      </c>
      <c r="J43" s="27"/>
      <c r="K43" s="14"/>
    </row>
    <row r="44" spans="2:11" ht="18" hidden="1">
      <c r="B44" s="26" t="s">
        <v>21</v>
      </c>
      <c r="C44" s="40" t="s">
        <v>47</v>
      </c>
      <c r="D44" s="3">
        <v>540000</v>
      </c>
      <c r="E44" s="3"/>
      <c r="F44" s="3">
        <v>51965.75</v>
      </c>
      <c r="G44" s="3"/>
      <c r="H44" s="2">
        <f t="shared" si="0"/>
        <v>51965.75</v>
      </c>
      <c r="I44" s="54">
        <f t="shared" si="1"/>
        <v>9.623287037037038</v>
      </c>
      <c r="J44" s="27"/>
      <c r="K44" s="14"/>
    </row>
    <row r="45" spans="2:11" ht="18" hidden="1">
      <c r="B45" s="26" t="s">
        <v>22</v>
      </c>
      <c r="C45" s="40" t="s">
        <v>48</v>
      </c>
      <c r="D45" s="74">
        <v>20649167</v>
      </c>
      <c r="E45" s="3"/>
      <c r="F45" s="3">
        <v>62034.2</v>
      </c>
      <c r="G45" s="4">
        <v>27657.36</v>
      </c>
      <c r="H45" s="2">
        <f t="shared" si="0"/>
        <v>89691.56</v>
      </c>
      <c r="I45" s="54">
        <f t="shared" si="1"/>
        <v>0.4343592165243276</v>
      </c>
      <c r="J45" s="28"/>
      <c r="K45" s="14"/>
    </row>
    <row r="46" spans="2:11" s="8" customFormat="1" ht="18">
      <c r="B46" s="19">
        <v>7</v>
      </c>
      <c r="C46" s="78" t="s">
        <v>118</v>
      </c>
      <c r="D46" s="20">
        <f>D47+D48+D49+D50+D51</f>
        <v>3234082</v>
      </c>
      <c r="E46" s="20">
        <f>E47+E48+E49+E50+E51</f>
        <v>500644.4</v>
      </c>
      <c r="F46" s="20">
        <f>F47+F48+F49+F50+F51</f>
        <v>2000</v>
      </c>
      <c r="G46" s="20">
        <f>G47+G48+G49+G50+G51</f>
        <v>0</v>
      </c>
      <c r="H46" s="20">
        <f>H47+H48+H49+H50+H51</f>
        <v>502644.4</v>
      </c>
      <c r="I46" s="43">
        <v>95</v>
      </c>
      <c r="J46" s="72" t="s">
        <v>5</v>
      </c>
      <c r="K46" s="14"/>
    </row>
    <row r="47" spans="2:11" ht="18" hidden="1">
      <c r="B47" s="21" t="s">
        <v>18</v>
      </c>
      <c r="C47" s="40" t="s">
        <v>44</v>
      </c>
      <c r="D47" s="23">
        <v>1900490</v>
      </c>
      <c r="E47" s="23">
        <v>476452.72</v>
      </c>
      <c r="F47" s="23"/>
      <c r="G47" s="23"/>
      <c r="H47" s="2">
        <f t="shared" si="0"/>
        <v>476452.72</v>
      </c>
      <c r="I47" s="54">
        <f t="shared" si="1"/>
        <v>25.069993527984884</v>
      </c>
      <c r="J47" s="24"/>
      <c r="K47" s="15"/>
    </row>
    <row r="48" spans="2:11" ht="18" hidden="1">
      <c r="B48" s="21" t="s">
        <v>19</v>
      </c>
      <c r="C48" s="40" t="s">
        <v>45</v>
      </c>
      <c r="D48" s="23">
        <v>354092</v>
      </c>
      <c r="E48" s="23">
        <v>9833.53</v>
      </c>
      <c r="F48" s="23"/>
      <c r="G48" s="23"/>
      <c r="H48" s="2">
        <f t="shared" si="0"/>
        <v>9833.53</v>
      </c>
      <c r="I48" s="54">
        <f t="shared" si="1"/>
        <v>2.777111598115744</v>
      </c>
      <c r="J48" s="24"/>
      <c r="K48" s="14"/>
    </row>
    <row r="49" spans="2:11" ht="18" hidden="1">
      <c r="B49" s="21" t="s">
        <v>20</v>
      </c>
      <c r="C49" s="40" t="s">
        <v>46</v>
      </c>
      <c r="D49" s="23">
        <v>109272</v>
      </c>
      <c r="E49" s="23">
        <v>14358.15</v>
      </c>
      <c r="F49" s="23"/>
      <c r="G49" s="23"/>
      <c r="H49" s="2">
        <f t="shared" si="0"/>
        <v>14358.15</v>
      </c>
      <c r="I49" s="54">
        <f t="shared" si="1"/>
        <v>13.139825389852843</v>
      </c>
      <c r="J49" s="24"/>
      <c r="K49" s="14"/>
    </row>
    <row r="50" spans="2:11" ht="18" hidden="1">
      <c r="B50" s="21" t="s">
        <v>21</v>
      </c>
      <c r="C50" s="40" t="s">
        <v>47</v>
      </c>
      <c r="D50" s="23">
        <f>12000+18000+31000</f>
        <v>61000</v>
      </c>
      <c r="E50" s="23"/>
      <c r="F50" s="23">
        <v>2000</v>
      </c>
      <c r="G50" s="23"/>
      <c r="H50" s="2">
        <f t="shared" si="0"/>
        <v>2000</v>
      </c>
      <c r="I50" s="54">
        <f t="shared" si="1"/>
        <v>3.278688524590164</v>
      </c>
      <c r="J50" s="24"/>
      <c r="K50" s="14"/>
    </row>
    <row r="51" spans="2:11" ht="18" hidden="1">
      <c r="B51" s="21" t="s">
        <v>22</v>
      </c>
      <c r="C51" s="40" t="s">
        <v>48</v>
      </c>
      <c r="D51" s="23">
        <v>809228</v>
      </c>
      <c r="E51" s="23"/>
      <c r="F51" s="23"/>
      <c r="G51" s="23"/>
      <c r="H51" s="2">
        <f t="shared" si="0"/>
        <v>0</v>
      </c>
      <c r="I51" s="54">
        <f t="shared" si="1"/>
        <v>0</v>
      </c>
      <c r="J51" s="24"/>
      <c r="K51" s="14"/>
    </row>
    <row r="52" spans="2:11" s="8" customFormat="1" ht="18">
      <c r="B52" s="19">
        <v>8</v>
      </c>
      <c r="C52" s="78" t="s">
        <v>103</v>
      </c>
      <c r="D52" s="20">
        <f>D53+D54+D55+D56+D57</f>
        <v>3725280</v>
      </c>
      <c r="E52" s="20">
        <f>E53+E54+E55+E56+E57</f>
        <v>567672.28</v>
      </c>
      <c r="F52" s="20">
        <f>F53+F54+F55+F56+F57</f>
        <v>20213.82</v>
      </c>
      <c r="G52" s="20">
        <f>G53+G54+G55+G56+G57</f>
        <v>0</v>
      </c>
      <c r="H52" s="20">
        <f>H53+H54+H55+H56+H57</f>
        <v>587886.1000000001</v>
      </c>
      <c r="I52" s="43">
        <v>97</v>
      </c>
      <c r="J52" s="72" t="s">
        <v>6</v>
      </c>
      <c r="K52" s="14"/>
    </row>
    <row r="53" spans="2:11" ht="18" hidden="1">
      <c r="B53" s="21" t="s">
        <v>18</v>
      </c>
      <c r="C53" s="40" t="s">
        <v>44</v>
      </c>
      <c r="D53" s="23">
        <v>2153446</v>
      </c>
      <c r="E53" s="23">
        <v>501423.29</v>
      </c>
      <c r="F53" s="23">
        <v>5125.43</v>
      </c>
      <c r="G53" s="23"/>
      <c r="H53" s="2">
        <f t="shared" si="0"/>
        <v>506548.72</v>
      </c>
      <c r="I53" s="54">
        <f t="shared" si="1"/>
        <v>23.5227036108637</v>
      </c>
      <c r="J53" s="24"/>
      <c r="K53" s="15"/>
    </row>
    <row r="54" spans="2:11" ht="18" hidden="1">
      <c r="B54" s="21" t="s">
        <v>19</v>
      </c>
      <c r="C54" s="40" t="s">
        <v>45</v>
      </c>
      <c r="D54" s="23">
        <v>303087</v>
      </c>
      <c r="E54" s="23">
        <v>44935.07</v>
      </c>
      <c r="F54" s="23">
        <v>7039.59</v>
      </c>
      <c r="G54" s="23"/>
      <c r="H54" s="2">
        <f t="shared" si="0"/>
        <v>51974.66</v>
      </c>
      <c r="I54" s="54">
        <f t="shared" si="1"/>
        <v>17.14842932887257</v>
      </c>
      <c r="J54" s="24"/>
      <c r="K54" s="14"/>
    </row>
    <row r="55" spans="2:11" ht="18" hidden="1">
      <c r="B55" s="21" t="s">
        <v>20</v>
      </c>
      <c r="C55" s="40" t="s">
        <v>46</v>
      </c>
      <c r="D55" s="23">
        <v>91500</v>
      </c>
      <c r="E55" s="23">
        <v>21313.92</v>
      </c>
      <c r="F55" s="23"/>
      <c r="G55" s="23"/>
      <c r="H55" s="2">
        <f t="shared" si="0"/>
        <v>21313.92</v>
      </c>
      <c r="I55" s="54">
        <f t="shared" si="1"/>
        <v>23.293901639344263</v>
      </c>
      <c r="J55" s="24"/>
      <c r="K55" s="14"/>
    </row>
    <row r="56" spans="2:11" ht="18" hidden="1">
      <c r="B56" s="21" t="s">
        <v>21</v>
      </c>
      <c r="C56" s="40" t="s">
        <v>47</v>
      </c>
      <c r="D56" s="23">
        <v>40000</v>
      </c>
      <c r="E56" s="23"/>
      <c r="F56" s="23">
        <v>8048.8</v>
      </c>
      <c r="G56" s="23"/>
      <c r="H56" s="2">
        <f t="shared" si="0"/>
        <v>8048.8</v>
      </c>
      <c r="I56" s="54">
        <f t="shared" si="1"/>
        <v>20.122</v>
      </c>
      <c r="J56" s="24"/>
      <c r="K56" s="14"/>
    </row>
    <row r="57" spans="2:11" ht="18" hidden="1">
      <c r="B57" s="21" t="s">
        <v>22</v>
      </c>
      <c r="C57" s="40" t="s">
        <v>48</v>
      </c>
      <c r="D57" s="23">
        <v>1137247</v>
      </c>
      <c r="E57" s="23"/>
      <c r="F57" s="23"/>
      <c r="G57" s="23"/>
      <c r="H57" s="2">
        <f t="shared" si="0"/>
        <v>0</v>
      </c>
      <c r="I57" s="54">
        <f t="shared" si="1"/>
        <v>0</v>
      </c>
      <c r="J57" s="24"/>
      <c r="K57" s="14"/>
    </row>
    <row r="58" spans="2:11" s="8" customFormat="1" ht="18">
      <c r="B58" s="19">
        <v>9</v>
      </c>
      <c r="C58" s="78" t="s">
        <v>31</v>
      </c>
      <c r="D58" s="20">
        <f>D59+D60+D61+D62+D63</f>
        <v>22481913</v>
      </c>
      <c r="E58" s="20">
        <f>E59+E60+E61+E62+E63</f>
        <v>3700824.08</v>
      </c>
      <c r="F58" s="20">
        <f>F59+F60+F61+F62+F63</f>
        <v>96299</v>
      </c>
      <c r="G58" s="20">
        <f>G59+G60+G61+G62+G63</f>
        <v>417343.86</v>
      </c>
      <c r="H58" s="20">
        <f>H59+H60+H61+H62+H63</f>
        <v>4214466.9399999995</v>
      </c>
      <c r="I58" s="43">
        <v>90</v>
      </c>
      <c r="J58" s="72" t="s">
        <v>31</v>
      </c>
      <c r="K58" s="18"/>
    </row>
    <row r="59" spans="2:11" ht="18" hidden="1">
      <c r="B59" s="21" t="s">
        <v>18</v>
      </c>
      <c r="C59" s="40" t="s">
        <v>44</v>
      </c>
      <c r="D59" s="23">
        <v>9627454</v>
      </c>
      <c r="E59" s="23">
        <v>2403917.64</v>
      </c>
      <c r="F59" s="23"/>
      <c r="G59" s="23"/>
      <c r="H59" s="2">
        <f t="shared" si="0"/>
        <v>2403917.64</v>
      </c>
      <c r="I59" s="54">
        <f t="shared" si="1"/>
        <v>24.96940146377225</v>
      </c>
      <c r="J59" s="24"/>
      <c r="K59" s="15"/>
    </row>
    <row r="60" spans="2:11" ht="18" hidden="1">
      <c r="B60" s="21" t="s">
        <v>19</v>
      </c>
      <c r="C60" s="40" t="s">
        <v>45</v>
      </c>
      <c r="D60" s="23">
        <v>2073762</v>
      </c>
      <c r="E60" s="23">
        <v>269182.66</v>
      </c>
      <c r="F60" s="23"/>
      <c r="G60" s="23">
        <v>28135.87</v>
      </c>
      <c r="H60" s="2">
        <f t="shared" si="0"/>
        <v>297318.52999999997</v>
      </c>
      <c r="I60" s="54">
        <f t="shared" si="1"/>
        <v>14.337157783776536</v>
      </c>
      <c r="J60" s="24"/>
      <c r="K60" s="14"/>
    </row>
    <row r="61" spans="2:11" ht="18" hidden="1">
      <c r="B61" s="21" t="s">
        <v>20</v>
      </c>
      <c r="C61" s="40" t="s">
        <v>46</v>
      </c>
      <c r="D61" s="23">
        <v>612319</v>
      </c>
      <c r="E61" s="23">
        <v>103223.78</v>
      </c>
      <c r="F61" s="23"/>
      <c r="G61" s="23"/>
      <c r="H61" s="2">
        <f t="shared" si="0"/>
        <v>103223.78</v>
      </c>
      <c r="I61" s="54">
        <f t="shared" si="1"/>
        <v>16.85784370565016</v>
      </c>
      <c r="J61" s="24"/>
      <c r="K61" s="14"/>
    </row>
    <row r="62" spans="2:11" ht="18" hidden="1">
      <c r="B62" s="21" t="s">
        <v>21</v>
      </c>
      <c r="C62" s="40" t="s">
        <v>47</v>
      </c>
      <c r="D62" s="23">
        <f>20000+40000+5000+15000+57000+103500+75000</f>
        <v>315500</v>
      </c>
      <c r="E62" s="23"/>
      <c r="F62" s="23">
        <v>25911</v>
      </c>
      <c r="G62" s="23">
        <v>16889.05</v>
      </c>
      <c r="H62" s="2">
        <f t="shared" si="0"/>
        <v>42800.05</v>
      </c>
      <c r="I62" s="54">
        <f t="shared" si="1"/>
        <v>13.565784469096673</v>
      </c>
      <c r="J62" s="24"/>
      <c r="K62" s="14"/>
    </row>
    <row r="63" spans="2:12" ht="18" hidden="1">
      <c r="B63" s="21" t="s">
        <v>22</v>
      </c>
      <c r="C63" s="40" t="s">
        <v>48</v>
      </c>
      <c r="D63" s="23">
        <v>9852878</v>
      </c>
      <c r="E63" s="23">
        <v>924500</v>
      </c>
      <c r="F63" s="23">
        <v>70388</v>
      </c>
      <c r="G63" s="23">
        <v>372318.94</v>
      </c>
      <c r="H63" s="2">
        <f t="shared" si="0"/>
        <v>1367206.94</v>
      </c>
      <c r="I63" s="54">
        <f t="shared" si="1"/>
        <v>13.87621911080194</v>
      </c>
      <c r="J63" s="24"/>
      <c r="K63" s="14"/>
      <c r="L63" s="13"/>
    </row>
    <row r="64" spans="2:11" s="8" customFormat="1" ht="18">
      <c r="B64" s="19">
        <v>10</v>
      </c>
      <c r="C64" s="78" t="s">
        <v>102</v>
      </c>
      <c r="D64" s="20">
        <f>D65+D66+D67+D68+D69</f>
        <v>6593736</v>
      </c>
      <c r="E64" s="20">
        <f>E65+E66+E67+E68+E69</f>
        <v>1002869.51</v>
      </c>
      <c r="F64" s="20">
        <f>F65+F66+F67+F68+F69</f>
        <v>21686.62</v>
      </c>
      <c r="G64" s="20">
        <f>G65+G66+G67+G68+G69</f>
        <v>0</v>
      </c>
      <c r="H64" s="20">
        <f>H65+H66+H67+H68+H69</f>
        <v>1024556.13</v>
      </c>
      <c r="I64" s="43">
        <v>91</v>
      </c>
      <c r="J64" s="72" t="s">
        <v>7</v>
      </c>
      <c r="K64" s="14"/>
    </row>
    <row r="65" spans="2:11" ht="18" hidden="1">
      <c r="B65" s="21" t="s">
        <v>18</v>
      </c>
      <c r="C65" s="40" t="s">
        <v>44</v>
      </c>
      <c r="D65" s="23">
        <v>3611051</v>
      </c>
      <c r="E65" s="23">
        <v>880688.83</v>
      </c>
      <c r="F65" s="23"/>
      <c r="G65" s="23"/>
      <c r="H65" s="2">
        <f t="shared" si="0"/>
        <v>880688.83</v>
      </c>
      <c r="I65" s="54">
        <f t="shared" si="1"/>
        <v>24.388712039791187</v>
      </c>
      <c r="J65" s="24"/>
      <c r="K65" s="15"/>
    </row>
    <row r="66" spans="2:11" ht="18" hidden="1">
      <c r="B66" s="21" t="s">
        <v>19</v>
      </c>
      <c r="C66" s="40" t="s">
        <v>45</v>
      </c>
      <c r="D66" s="23">
        <v>627243</v>
      </c>
      <c r="E66" s="23">
        <v>94922.55</v>
      </c>
      <c r="F66" s="23"/>
      <c r="G66" s="23"/>
      <c r="H66" s="2">
        <f t="shared" si="0"/>
        <v>94922.55</v>
      </c>
      <c r="I66" s="54">
        <f t="shared" si="1"/>
        <v>15.133297621495975</v>
      </c>
      <c r="J66" s="24"/>
      <c r="K66" s="14"/>
    </row>
    <row r="67" spans="2:11" ht="18" hidden="1">
      <c r="B67" s="21" t="s">
        <v>20</v>
      </c>
      <c r="C67" s="40" t="s">
        <v>46</v>
      </c>
      <c r="D67" s="23">
        <v>238623</v>
      </c>
      <c r="E67" s="23">
        <v>27258.13</v>
      </c>
      <c r="F67" s="42"/>
      <c r="G67" s="23"/>
      <c r="H67" s="2">
        <f t="shared" si="0"/>
        <v>27258.13</v>
      </c>
      <c r="I67" s="54">
        <f t="shared" si="1"/>
        <v>11.423094169463967</v>
      </c>
      <c r="J67" s="24"/>
      <c r="K67" s="14"/>
    </row>
    <row r="68" spans="2:11" ht="18" hidden="1">
      <c r="B68" s="21" t="s">
        <v>21</v>
      </c>
      <c r="C68" s="40" t="s">
        <v>47</v>
      </c>
      <c r="D68" s="23">
        <v>60300</v>
      </c>
      <c r="E68" s="23"/>
      <c r="F68" s="23">
        <v>21686.62</v>
      </c>
      <c r="G68" s="23"/>
      <c r="H68" s="2">
        <f t="shared" si="0"/>
        <v>21686.62</v>
      </c>
      <c r="I68" s="54">
        <f t="shared" si="1"/>
        <v>35.964543946932004</v>
      </c>
      <c r="J68" s="24"/>
      <c r="K68" s="14"/>
    </row>
    <row r="69" spans="2:11" ht="18" hidden="1">
      <c r="B69" s="21" t="s">
        <v>22</v>
      </c>
      <c r="C69" s="40" t="s">
        <v>48</v>
      </c>
      <c r="D69" s="23">
        <v>2056519</v>
      </c>
      <c r="E69" s="23"/>
      <c r="F69" s="23"/>
      <c r="G69" s="23"/>
      <c r="H69" s="2">
        <f t="shared" si="0"/>
        <v>0</v>
      </c>
      <c r="I69" s="54">
        <f t="shared" si="1"/>
        <v>0</v>
      </c>
      <c r="J69" s="24"/>
      <c r="K69" s="14"/>
    </row>
    <row r="70" spans="2:11" s="8" customFormat="1" ht="18">
      <c r="B70" s="19">
        <v>11</v>
      </c>
      <c r="C70" s="78" t="s">
        <v>119</v>
      </c>
      <c r="D70" s="20">
        <f>D71+D72+D73+D74+D75</f>
        <v>8061331</v>
      </c>
      <c r="E70" s="20">
        <f>E71+E72+E73+E74+E75</f>
        <v>1152423.7599999998</v>
      </c>
      <c r="F70" s="20">
        <f>F71+F72+F73+F74+F75</f>
        <v>33208.64</v>
      </c>
      <c r="G70" s="20">
        <f>G71+G72+G73+G74+G75</f>
        <v>0</v>
      </c>
      <c r="H70" s="20">
        <f>H71+H72+H73+H74+H75</f>
        <v>1185632.3999999997</v>
      </c>
      <c r="I70" s="43">
        <v>92</v>
      </c>
      <c r="J70" s="72" t="s">
        <v>30</v>
      </c>
      <c r="K70" s="14"/>
    </row>
    <row r="71" spans="2:11" ht="18" hidden="1">
      <c r="B71" s="21" t="s">
        <v>18</v>
      </c>
      <c r="C71" s="40" t="s">
        <v>44</v>
      </c>
      <c r="D71" s="23">
        <v>4108022</v>
      </c>
      <c r="E71" s="23">
        <v>1010877.71</v>
      </c>
      <c r="F71" s="23"/>
      <c r="G71" s="23"/>
      <c r="H71" s="2">
        <f t="shared" si="0"/>
        <v>1010877.71</v>
      </c>
      <c r="I71" s="54">
        <f t="shared" si="1"/>
        <v>24.607407409210563</v>
      </c>
      <c r="J71" s="24"/>
      <c r="K71" s="15"/>
    </row>
    <row r="72" spans="2:11" ht="18" hidden="1">
      <c r="B72" s="21" t="s">
        <v>19</v>
      </c>
      <c r="C72" s="40" t="s">
        <v>45</v>
      </c>
      <c r="D72" s="23">
        <v>785568</v>
      </c>
      <c r="E72" s="23">
        <v>99027.42</v>
      </c>
      <c r="F72" s="22"/>
      <c r="G72" s="23"/>
      <c r="H72" s="2">
        <f t="shared" si="0"/>
        <v>99027.42</v>
      </c>
      <c r="I72" s="54">
        <f t="shared" si="1"/>
        <v>12.605836795796163</v>
      </c>
      <c r="J72" s="24"/>
      <c r="K72" s="14"/>
    </row>
    <row r="73" spans="2:11" ht="18" hidden="1">
      <c r="B73" s="21" t="s">
        <v>20</v>
      </c>
      <c r="C73" s="40" t="s">
        <v>46</v>
      </c>
      <c r="D73" s="23">
        <f>110000+5000+30000+50000</f>
        <v>195000</v>
      </c>
      <c r="E73" s="23">
        <v>42518.63</v>
      </c>
      <c r="F73" s="23"/>
      <c r="G73" s="23"/>
      <c r="H73" s="2">
        <f t="shared" si="0"/>
        <v>42518.63</v>
      </c>
      <c r="I73" s="54">
        <f t="shared" si="1"/>
        <v>21.80442564102564</v>
      </c>
      <c r="J73" s="24"/>
      <c r="K73" s="14"/>
    </row>
    <row r="74" spans="2:11" ht="18" hidden="1">
      <c r="B74" s="21" t="s">
        <v>21</v>
      </c>
      <c r="C74" s="40" t="s">
        <v>47</v>
      </c>
      <c r="D74" s="23">
        <v>110000</v>
      </c>
      <c r="E74" s="23"/>
      <c r="F74" s="23">
        <v>33208.64</v>
      </c>
      <c r="G74" s="23"/>
      <c r="H74" s="2">
        <f aca="true" t="shared" si="2" ref="H74:H137">E74+F74+G74</f>
        <v>33208.64</v>
      </c>
      <c r="I74" s="54">
        <f t="shared" si="1"/>
        <v>30.189672727272725</v>
      </c>
      <c r="J74" s="24"/>
      <c r="K74" s="14"/>
    </row>
    <row r="75" spans="2:11" ht="18" hidden="1">
      <c r="B75" s="21" t="s">
        <v>22</v>
      </c>
      <c r="C75" s="40" t="s">
        <v>48</v>
      </c>
      <c r="D75" s="23">
        <v>2862741</v>
      </c>
      <c r="E75" s="23"/>
      <c r="F75" s="23"/>
      <c r="G75" s="23"/>
      <c r="H75" s="2">
        <f t="shared" si="2"/>
        <v>0</v>
      </c>
      <c r="I75" s="54">
        <f aca="true" t="shared" si="3" ref="I75:I138">H75/D75*100</f>
        <v>0</v>
      </c>
      <c r="J75" s="24"/>
      <c r="K75" s="14"/>
    </row>
    <row r="76" spans="2:11" s="8" customFormat="1" ht="18">
      <c r="B76" s="19">
        <v>12</v>
      </c>
      <c r="C76" s="78" t="s">
        <v>100</v>
      </c>
      <c r="D76" s="20">
        <f>D77+D78+D79+D80+D81</f>
        <v>6517876</v>
      </c>
      <c r="E76" s="20">
        <f>E77+E78+E79+E80+E81</f>
        <v>1253954.8299999998</v>
      </c>
      <c r="F76" s="20">
        <f>F77+F78+F79+F80+F81</f>
        <v>54502.53999999999</v>
      </c>
      <c r="G76" s="20">
        <f>G77+G78+G79+G80+G81</f>
        <v>59086.68</v>
      </c>
      <c r="H76" s="20">
        <f>H77+H78+H79+H80+H81</f>
        <v>1367544.0499999998</v>
      </c>
      <c r="I76" s="43">
        <v>96</v>
      </c>
      <c r="J76" s="72" t="s">
        <v>29</v>
      </c>
      <c r="K76" s="14"/>
    </row>
    <row r="77" spans="2:11" ht="18" hidden="1">
      <c r="B77" s="21" t="s">
        <v>18</v>
      </c>
      <c r="C77" s="40" t="s">
        <v>44</v>
      </c>
      <c r="D77" s="23">
        <v>3861879</v>
      </c>
      <c r="E77" s="23">
        <v>980580.65</v>
      </c>
      <c r="F77" s="23"/>
      <c r="G77" s="23"/>
      <c r="H77" s="2">
        <f t="shared" si="2"/>
        <v>980580.65</v>
      </c>
      <c r="I77" s="54">
        <f t="shared" si="3"/>
        <v>25.39128362126312</v>
      </c>
      <c r="J77" s="24"/>
      <c r="K77" s="15"/>
    </row>
    <row r="78" spans="2:11" ht="18" hidden="1">
      <c r="B78" s="21" t="s">
        <v>19</v>
      </c>
      <c r="C78" s="40" t="s">
        <v>45</v>
      </c>
      <c r="D78" s="23">
        <v>681537</v>
      </c>
      <c r="E78" s="23">
        <v>128929.84</v>
      </c>
      <c r="F78" s="23">
        <v>28252.37</v>
      </c>
      <c r="G78" s="22">
        <v>900</v>
      </c>
      <c r="H78" s="2">
        <f t="shared" si="2"/>
        <v>158082.21</v>
      </c>
      <c r="I78" s="54">
        <f t="shared" si="3"/>
        <v>23.194956400019368</v>
      </c>
      <c r="J78" s="24"/>
      <c r="K78" s="14"/>
    </row>
    <row r="79" spans="2:11" ht="18" hidden="1">
      <c r="B79" s="21" t="s">
        <v>20</v>
      </c>
      <c r="C79" s="40" t="s">
        <v>46</v>
      </c>
      <c r="D79" s="23">
        <f>23100+33242+1200+4000+1440+35969+58881</f>
        <v>157832</v>
      </c>
      <c r="E79" s="23">
        <v>34244.41</v>
      </c>
      <c r="F79" s="23"/>
      <c r="G79" s="23"/>
      <c r="H79" s="2">
        <f t="shared" si="2"/>
        <v>34244.41</v>
      </c>
      <c r="I79" s="54">
        <f t="shared" si="3"/>
        <v>21.696747174210554</v>
      </c>
      <c r="J79" s="24"/>
      <c r="K79" s="14"/>
    </row>
    <row r="80" spans="2:11" ht="18" hidden="1">
      <c r="B80" s="21" t="s">
        <v>21</v>
      </c>
      <c r="C80" s="40" t="s">
        <v>47</v>
      </c>
      <c r="D80" s="23">
        <v>60000</v>
      </c>
      <c r="E80" s="23"/>
      <c r="F80" s="23">
        <v>26250.17</v>
      </c>
      <c r="G80" s="23"/>
      <c r="H80" s="2">
        <f t="shared" si="2"/>
        <v>26250.17</v>
      </c>
      <c r="I80" s="54">
        <f t="shared" si="3"/>
        <v>43.75028333333333</v>
      </c>
      <c r="J80" s="24"/>
      <c r="K80" s="14"/>
    </row>
    <row r="81" spans="2:11" ht="18" hidden="1">
      <c r="B81" s="21" t="s">
        <v>22</v>
      </c>
      <c r="C81" s="40" t="s">
        <v>48</v>
      </c>
      <c r="D81" s="23">
        <v>1756628</v>
      </c>
      <c r="E81" s="23">
        <v>110199.93</v>
      </c>
      <c r="F81" s="23"/>
      <c r="G81" s="23">
        <v>58186.68</v>
      </c>
      <c r="H81" s="2">
        <f t="shared" si="2"/>
        <v>168386.61</v>
      </c>
      <c r="I81" s="54">
        <f t="shared" si="3"/>
        <v>9.585786518261122</v>
      </c>
      <c r="J81" s="24"/>
      <c r="K81" s="14"/>
    </row>
    <row r="82" spans="2:11" s="8" customFormat="1" ht="18">
      <c r="B82" s="19">
        <v>13</v>
      </c>
      <c r="C82" s="78" t="s">
        <v>120</v>
      </c>
      <c r="D82" s="20">
        <f>D83+D84+D85+D86+D87</f>
        <v>4239773</v>
      </c>
      <c r="E82" s="20">
        <f>E83+E84+E85+E86+E87</f>
        <v>702055.65</v>
      </c>
      <c r="F82" s="20">
        <f>F83+F84+F85+F86+F87</f>
        <v>0</v>
      </c>
      <c r="G82" s="20">
        <f>G83+G84+G85+G86+G87</f>
        <v>0</v>
      </c>
      <c r="H82" s="20">
        <f>H83+H84+H85+H86+H87</f>
        <v>702055.65</v>
      </c>
      <c r="I82" s="43">
        <v>94</v>
      </c>
      <c r="J82" s="72" t="s">
        <v>8</v>
      </c>
      <c r="K82" s="14"/>
    </row>
    <row r="83" spans="2:11" ht="18" hidden="1">
      <c r="B83" s="21" t="s">
        <v>18</v>
      </c>
      <c r="C83" s="40" t="s">
        <v>44</v>
      </c>
      <c r="D83" s="23">
        <v>2598590</v>
      </c>
      <c r="E83" s="23">
        <v>643921.4</v>
      </c>
      <c r="F83" s="23"/>
      <c r="G83" s="23"/>
      <c r="H83" s="2">
        <f t="shared" si="2"/>
        <v>643921.4</v>
      </c>
      <c r="I83" s="54">
        <f t="shared" si="3"/>
        <v>24.779645884883728</v>
      </c>
      <c r="J83" s="24"/>
      <c r="K83" s="15"/>
    </row>
    <row r="84" spans="2:11" ht="18" hidden="1">
      <c r="B84" s="21" t="s">
        <v>19</v>
      </c>
      <c r="C84" s="40" t="s">
        <v>45</v>
      </c>
      <c r="D84" s="23">
        <v>268076</v>
      </c>
      <c r="E84" s="23">
        <v>27557.57</v>
      </c>
      <c r="F84" s="23"/>
      <c r="G84" s="23"/>
      <c r="H84" s="2">
        <f t="shared" si="2"/>
        <v>27557.57</v>
      </c>
      <c r="I84" s="54">
        <f t="shared" si="3"/>
        <v>10.279760217251823</v>
      </c>
      <c r="J84" s="24"/>
      <c r="K84" s="14"/>
    </row>
    <row r="85" spans="2:11" ht="18" hidden="1">
      <c r="B85" s="21" t="s">
        <v>20</v>
      </c>
      <c r="C85" s="40" t="s">
        <v>46</v>
      </c>
      <c r="D85" s="23">
        <v>131033</v>
      </c>
      <c r="E85" s="23">
        <v>30576.68</v>
      </c>
      <c r="F85" s="23"/>
      <c r="G85" s="23"/>
      <c r="H85" s="2">
        <f t="shared" si="2"/>
        <v>30576.68</v>
      </c>
      <c r="I85" s="54">
        <f t="shared" si="3"/>
        <v>23.335098791907384</v>
      </c>
      <c r="J85" s="24"/>
      <c r="K85" s="14"/>
    </row>
    <row r="86" spans="2:11" ht="18" hidden="1">
      <c r="B86" s="21" t="s">
        <v>21</v>
      </c>
      <c r="C86" s="40" t="s">
        <v>47</v>
      </c>
      <c r="D86" s="23">
        <v>10000</v>
      </c>
      <c r="E86" s="23"/>
      <c r="F86" s="23"/>
      <c r="G86" s="23"/>
      <c r="H86" s="2">
        <f t="shared" si="2"/>
        <v>0</v>
      </c>
      <c r="I86" s="54">
        <f t="shared" si="3"/>
        <v>0</v>
      </c>
      <c r="J86" s="24"/>
      <c r="K86" s="14"/>
    </row>
    <row r="87" spans="2:11" ht="18" hidden="1">
      <c r="B87" s="21" t="s">
        <v>22</v>
      </c>
      <c r="C87" s="40" t="s">
        <v>48</v>
      </c>
      <c r="D87" s="23">
        <v>1232074</v>
      </c>
      <c r="E87" s="23"/>
      <c r="F87" s="23"/>
      <c r="G87" s="23"/>
      <c r="H87" s="2">
        <f t="shared" si="2"/>
        <v>0</v>
      </c>
      <c r="I87" s="54">
        <f t="shared" si="3"/>
        <v>0</v>
      </c>
      <c r="J87" s="24"/>
      <c r="K87" s="14"/>
    </row>
    <row r="88" spans="2:11" s="8" customFormat="1" ht="18">
      <c r="B88" s="19">
        <v>14</v>
      </c>
      <c r="C88" s="78" t="s">
        <v>121</v>
      </c>
      <c r="D88" s="20">
        <f>D89+D90+D91+D92+D93</f>
        <v>12244283</v>
      </c>
      <c r="E88" s="20">
        <f>E89+E90+E91+E92+E93</f>
        <v>2059400.0800000003</v>
      </c>
      <c r="F88" s="20">
        <f>F89+F90+F91+F92+F93</f>
        <v>227967.21000000002</v>
      </c>
      <c r="G88" s="20">
        <f>G89+G90+G91+G92+G93</f>
        <v>159244.96</v>
      </c>
      <c r="H88" s="20">
        <f>H89+H90+H91+H92+H93</f>
        <v>2446612.25</v>
      </c>
      <c r="I88" s="43">
        <v>96</v>
      </c>
      <c r="J88" s="72" t="s">
        <v>28</v>
      </c>
      <c r="K88" s="18"/>
    </row>
    <row r="89" spans="2:11" ht="18" hidden="1">
      <c r="B89" s="21" t="s">
        <v>18</v>
      </c>
      <c r="C89" s="40" t="s">
        <v>44</v>
      </c>
      <c r="D89" s="23">
        <v>6544675</v>
      </c>
      <c r="E89" s="37">
        <v>1647015.37</v>
      </c>
      <c r="F89" s="37">
        <v>5570.38</v>
      </c>
      <c r="G89" s="42"/>
      <c r="H89" s="2">
        <f t="shared" si="2"/>
        <v>1652585.75</v>
      </c>
      <c r="I89" s="54">
        <f t="shared" si="3"/>
        <v>25.250845152738677</v>
      </c>
      <c r="J89" s="24"/>
      <c r="K89" s="15"/>
    </row>
    <row r="90" spans="2:11" ht="18" hidden="1">
      <c r="B90" s="21" t="s">
        <v>19</v>
      </c>
      <c r="C90" s="40" t="s">
        <v>45</v>
      </c>
      <c r="D90" s="23">
        <v>1351085</v>
      </c>
      <c r="E90" s="37">
        <v>273435.14</v>
      </c>
      <c r="F90" s="37">
        <v>3860</v>
      </c>
      <c r="G90" s="37">
        <v>56780.42</v>
      </c>
      <c r="H90" s="2">
        <f t="shared" si="2"/>
        <v>334075.56</v>
      </c>
      <c r="I90" s="54">
        <f t="shared" si="3"/>
        <v>24.726465026256676</v>
      </c>
      <c r="J90" s="24"/>
      <c r="K90" s="14"/>
    </row>
    <row r="91" spans="2:11" ht="18" hidden="1">
      <c r="B91" s="21" t="s">
        <v>20</v>
      </c>
      <c r="C91" s="40" t="s">
        <v>46</v>
      </c>
      <c r="D91" s="23">
        <v>519000</v>
      </c>
      <c r="E91" s="37">
        <v>138949.57</v>
      </c>
      <c r="F91" s="37"/>
      <c r="G91" s="37"/>
      <c r="H91" s="2">
        <f t="shared" si="2"/>
        <v>138949.57</v>
      </c>
      <c r="I91" s="54">
        <f t="shared" si="3"/>
        <v>26.772556840077073</v>
      </c>
      <c r="J91" s="24"/>
      <c r="K91" s="14"/>
    </row>
    <row r="92" spans="2:11" ht="18" hidden="1">
      <c r="B92" s="21" t="s">
        <v>21</v>
      </c>
      <c r="C92" s="40" t="s">
        <v>47</v>
      </c>
      <c r="D92" s="23">
        <v>200000</v>
      </c>
      <c r="E92" s="37"/>
      <c r="F92" s="37">
        <v>99456</v>
      </c>
      <c r="G92" s="37"/>
      <c r="H92" s="2">
        <f t="shared" si="2"/>
        <v>99456</v>
      </c>
      <c r="I92" s="54">
        <f t="shared" si="3"/>
        <v>49.728</v>
      </c>
      <c r="J92" s="24"/>
      <c r="K92" s="14"/>
    </row>
    <row r="93" spans="2:11" ht="18" hidden="1">
      <c r="B93" s="21" t="s">
        <v>22</v>
      </c>
      <c r="C93" s="40" t="s">
        <v>48</v>
      </c>
      <c r="D93" s="23">
        <v>3629523</v>
      </c>
      <c r="E93" s="37"/>
      <c r="F93" s="37">
        <v>119080.83</v>
      </c>
      <c r="G93" s="37">
        <v>102464.54</v>
      </c>
      <c r="H93" s="2">
        <f t="shared" si="2"/>
        <v>221545.37</v>
      </c>
      <c r="I93" s="54">
        <f t="shared" si="3"/>
        <v>6.103980330197659</v>
      </c>
      <c r="J93" s="24"/>
      <c r="K93" s="14"/>
    </row>
    <row r="94" spans="2:11" s="8" customFormat="1" ht="18">
      <c r="B94" s="19">
        <v>15</v>
      </c>
      <c r="C94" s="79" t="s">
        <v>122</v>
      </c>
      <c r="D94" s="20">
        <f>D95+D96+D97+D98+D99</f>
        <v>5038352</v>
      </c>
      <c r="E94" s="20">
        <f>E95+E96+E97+E98+E99</f>
        <v>752771.0900000001</v>
      </c>
      <c r="F94" s="20">
        <f>F95+F96+F97+F98+F99</f>
        <v>0</v>
      </c>
      <c r="G94" s="20">
        <f>G95+G96+G97+G98+G99</f>
        <v>31160</v>
      </c>
      <c r="H94" s="20">
        <f>H95+H96+H97+H98+H99</f>
        <v>783931.0900000001</v>
      </c>
      <c r="I94" s="43">
        <v>96</v>
      </c>
      <c r="J94" s="72" t="s">
        <v>9</v>
      </c>
      <c r="K94" s="14"/>
    </row>
    <row r="95" spans="2:11" ht="18" hidden="1">
      <c r="B95" s="21" t="s">
        <v>18</v>
      </c>
      <c r="C95" s="40" t="s">
        <v>44</v>
      </c>
      <c r="D95" s="37">
        <v>2863962</v>
      </c>
      <c r="E95" s="37">
        <v>706824.53</v>
      </c>
      <c r="F95" s="37"/>
      <c r="G95" s="37"/>
      <c r="H95" s="2">
        <f t="shared" si="2"/>
        <v>706824.53</v>
      </c>
      <c r="I95" s="54">
        <f t="shared" si="3"/>
        <v>24.67995490163627</v>
      </c>
      <c r="J95" s="38"/>
      <c r="K95" s="15"/>
    </row>
    <row r="96" spans="2:11" ht="18" hidden="1">
      <c r="B96" s="21" t="s">
        <v>19</v>
      </c>
      <c r="C96" s="40" t="s">
        <v>45</v>
      </c>
      <c r="D96" s="37">
        <v>528483</v>
      </c>
      <c r="E96" s="37">
        <v>35908.88</v>
      </c>
      <c r="F96" s="37"/>
      <c r="G96" s="37"/>
      <c r="H96" s="2">
        <f t="shared" si="2"/>
        <v>35908.88</v>
      </c>
      <c r="I96" s="54">
        <f t="shared" si="3"/>
        <v>6.794708628281325</v>
      </c>
      <c r="J96" s="38"/>
      <c r="K96" s="14"/>
    </row>
    <row r="97" spans="2:11" ht="18" hidden="1">
      <c r="B97" s="21" t="s">
        <v>20</v>
      </c>
      <c r="C97" s="40" t="s">
        <v>46</v>
      </c>
      <c r="D97" s="37">
        <v>120991</v>
      </c>
      <c r="E97" s="37">
        <v>10037.68</v>
      </c>
      <c r="F97" s="37"/>
      <c r="G97" s="37"/>
      <c r="H97" s="2">
        <f t="shared" si="2"/>
        <v>10037.68</v>
      </c>
      <c r="I97" s="54">
        <f t="shared" si="3"/>
        <v>8.296220380028267</v>
      </c>
      <c r="J97" s="38"/>
      <c r="K97" s="14"/>
    </row>
    <row r="98" spans="2:11" ht="18" hidden="1">
      <c r="B98" s="21" t="s">
        <v>21</v>
      </c>
      <c r="C98" s="40" t="s">
        <v>47</v>
      </c>
      <c r="D98" s="37">
        <v>87200</v>
      </c>
      <c r="E98" s="37"/>
      <c r="F98" s="37"/>
      <c r="G98" s="37"/>
      <c r="H98" s="2">
        <f t="shared" si="2"/>
        <v>0</v>
      </c>
      <c r="I98" s="54">
        <f t="shared" si="3"/>
        <v>0</v>
      </c>
      <c r="J98" s="38"/>
      <c r="K98" s="14"/>
    </row>
    <row r="99" spans="2:11" ht="18" hidden="1">
      <c r="B99" s="21" t="s">
        <v>22</v>
      </c>
      <c r="C99" s="40" t="s">
        <v>48</v>
      </c>
      <c r="D99" s="37">
        <v>1437716</v>
      </c>
      <c r="E99" s="37"/>
      <c r="F99" s="37"/>
      <c r="G99" s="37">
        <v>31160</v>
      </c>
      <c r="H99" s="2">
        <f t="shared" si="2"/>
        <v>31160</v>
      </c>
      <c r="I99" s="54">
        <f t="shared" si="3"/>
        <v>2.1673265095470873</v>
      </c>
      <c r="J99" s="38"/>
      <c r="K99" s="14"/>
    </row>
    <row r="100" spans="2:11" s="8" customFormat="1" ht="18">
      <c r="B100" s="19">
        <v>16</v>
      </c>
      <c r="C100" s="78" t="s">
        <v>123</v>
      </c>
      <c r="D100" s="20">
        <f>D101+D102+D103+D104+D105</f>
        <v>4996631</v>
      </c>
      <c r="E100" s="20">
        <f>E101+E102+E103+E104+E105</f>
        <v>937824.14</v>
      </c>
      <c r="F100" s="20">
        <f>F101+F102+F103+F104+F105</f>
        <v>24396.949999999997</v>
      </c>
      <c r="G100" s="20">
        <f>G101+G102+G103+G104+G105</f>
        <v>0</v>
      </c>
      <c r="H100" s="20">
        <f>H101+H102+H103+H104+H105</f>
        <v>962221.09</v>
      </c>
      <c r="I100" s="43">
        <v>95</v>
      </c>
      <c r="J100" s="72" t="s">
        <v>27</v>
      </c>
      <c r="K100" s="14"/>
    </row>
    <row r="101" spans="2:11" ht="18" hidden="1">
      <c r="B101" s="21" t="s">
        <v>18</v>
      </c>
      <c r="C101" s="40" t="s">
        <v>44</v>
      </c>
      <c r="D101" s="37">
        <v>2888676</v>
      </c>
      <c r="E101" s="37">
        <v>716465.83</v>
      </c>
      <c r="F101" s="37">
        <v>2724.37</v>
      </c>
      <c r="G101" s="37"/>
      <c r="H101" s="2">
        <f t="shared" si="2"/>
        <v>719190.2</v>
      </c>
      <c r="I101" s="54">
        <f t="shared" si="3"/>
        <v>24.896880093163787</v>
      </c>
      <c r="J101" s="38"/>
      <c r="K101" s="14"/>
    </row>
    <row r="102" spans="2:11" ht="18" hidden="1">
      <c r="B102" s="21" t="s">
        <v>19</v>
      </c>
      <c r="C102" s="40" t="s">
        <v>45</v>
      </c>
      <c r="D102" s="37">
        <v>476515</v>
      </c>
      <c r="E102" s="37">
        <v>72380.4</v>
      </c>
      <c r="F102" s="37">
        <v>16704.07</v>
      </c>
      <c r="G102" s="37"/>
      <c r="H102" s="2">
        <f t="shared" si="2"/>
        <v>89084.47</v>
      </c>
      <c r="I102" s="54">
        <f t="shared" si="3"/>
        <v>18.69499805882291</v>
      </c>
      <c r="J102" s="38"/>
      <c r="K102" s="14"/>
    </row>
    <row r="103" spans="2:11" ht="18" hidden="1">
      <c r="B103" s="21" t="s">
        <v>20</v>
      </c>
      <c r="C103" s="40" t="s">
        <v>46</v>
      </c>
      <c r="D103" s="37">
        <v>171111</v>
      </c>
      <c r="E103" s="37">
        <v>26461.41</v>
      </c>
      <c r="F103" s="37"/>
      <c r="G103" s="37"/>
      <c r="H103" s="2">
        <f t="shared" si="2"/>
        <v>26461.41</v>
      </c>
      <c r="I103" s="54">
        <f t="shared" si="3"/>
        <v>15.464470431474306</v>
      </c>
      <c r="J103" s="38"/>
      <c r="K103" s="14"/>
    </row>
    <row r="104" spans="2:11" ht="18" hidden="1">
      <c r="B104" s="21" t="s">
        <v>21</v>
      </c>
      <c r="C104" s="40" t="s">
        <v>47</v>
      </c>
      <c r="D104" s="37">
        <f>5000+5000+20000+2000+5000+18000</f>
        <v>55000</v>
      </c>
      <c r="E104" s="37"/>
      <c r="F104" s="37">
        <v>4968.51</v>
      </c>
      <c r="G104" s="37"/>
      <c r="H104" s="2">
        <f t="shared" si="2"/>
        <v>4968.51</v>
      </c>
      <c r="I104" s="54">
        <f t="shared" si="3"/>
        <v>9.033654545454546</v>
      </c>
      <c r="J104" s="38"/>
      <c r="K104" s="14"/>
    </row>
    <row r="105" spans="2:11" ht="18" hidden="1">
      <c r="B105" s="21" t="s">
        <v>22</v>
      </c>
      <c r="C105" s="40" t="s">
        <v>48</v>
      </c>
      <c r="D105" s="37">
        <v>1405329</v>
      </c>
      <c r="E105" s="37">
        <v>122516.5</v>
      </c>
      <c r="F105" s="37"/>
      <c r="G105" s="37"/>
      <c r="H105" s="2">
        <f t="shared" si="2"/>
        <v>122516.5</v>
      </c>
      <c r="I105" s="54">
        <f t="shared" si="3"/>
        <v>8.7179941494127</v>
      </c>
      <c r="J105" s="38"/>
      <c r="K105" s="14"/>
    </row>
    <row r="106" spans="2:11" s="8" customFormat="1" ht="18">
      <c r="B106" s="19">
        <v>17</v>
      </c>
      <c r="C106" s="79" t="s">
        <v>95</v>
      </c>
      <c r="D106" s="20">
        <f>D107+D108+D109+D110+D111</f>
        <v>12638499</v>
      </c>
      <c r="E106" s="20">
        <f>E107+E108+E109+E110+E111</f>
        <v>2018751.0300000003</v>
      </c>
      <c r="F106" s="20">
        <f>F107+F108+F109+F110+F111</f>
        <v>37629.68</v>
      </c>
      <c r="G106" s="20"/>
      <c r="H106" s="20">
        <f>H107+H108+H109+H110+H111</f>
        <v>2056380.7100000002</v>
      </c>
      <c r="I106" s="43">
        <v>92</v>
      </c>
      <c r="J106" s="72" t="s">
        <v>26</v>
      </c>
      <c r="K106" s="15"/>
    </row>
    <row r="107" spans="2:11" ht="18" hidden="1">
      <c r="B107" s="21" t="s">
        <v>18</v>
      </c>
      <c r="C107" s="40" t="s">
        <v>44</v>
      </c>
      <c r="D107" s="37">
        <v>7018502</v>
      </c>
      <c r="E107" s="37">
        <v>1739713.87</v>
      </c>
      <c r="F107" s="37">
        <v>4542.61</v>
      </c>
      <c r="G107" s="37"/>
      <c r="H107" s="2">
        <f t="shared" si="2"/>
        <v>1744256.4800000002</v>
      </c>
      <c r="I107" s="54">
        <f t="shared" si="3"/>
        <v>24.85226163645747</v>
      </c>
      <c r="J107" s="38"/>
      <c r="K107" s="15"/>
    </row>
    <row r="108" spans="2:11" ht="18" hidden="1">
      <c r="B108" s="21" t="s">
        <v>19</v>
      </c>
      <c r="C108" s="40" t="s">
        <v>45</v>
      </c>
      <c r="D108" s="37">
        <v>1037922</v>
      </c>
      <c r="E108" s="37">
        <v>160296.34</v>
      </c>
      <c r="F108" s="37">
        <v>4657.07</v>
      </c>
      <c r="G108" s="37"/>
      <c r="H108" s="2">
        <f t="shared" si="2"/>
        <v>164953.41</v>
      </c>
      <c r="I108" s="54">
        <f t="shared" si="3"/>
        <v>15.892659564013481</v>
      </c>
      <c r="J108" s="38"/>
      <c r="K108" s="14"/>
    </row>
    <row r="109" spans="2:11" ht="18" hidden="1">
      <c r="B109" s="21" t="s">
        <v>20</v>
      </c>
      <c r="C109" s="40" t="s">
        <v>46</v>
      </c>
      <c r="D109" s="37">
        <v>475437</v>
      </c>
      <c r="E109" s="37">
        <v>118740.82</v>
      </c>
      <c r="F109" s="37"/>
      <c r="G109" s="37"/>
      <c r="H109" s="2">
        <f t="shared" si="2"/>
        <v>118740.82</v>
      </c>
      <c r="I109" s="54">
        <f t="shared" si="3"/>
        <v>24.975090285358526</v>
      </c>
      <c r="J109" s="38"/>
      <c r="K109" s="14"/>
    </row>
    <row r="110" spans="2:11" ht="18" hidden="1">
      <c r="B110" s="21" t="s">
        <v>21</v>
      </c>
      <c r="C110" s="40" t="s">
        <v>47</v>
      </c>
      <c r="D110" s="37">
        <v>213121</v>
      </c>
      <c r="E110" s="37"/>
      <c r="F110" s="37">
        <v>28430</v>
      </c>
      <c r="G110" s="37"/>
      <c r="H110" s="2">
        <f t="shared" si="2"/>
        <v>28430</v>
      </c>
      <c r="I110" s="54">
        <f t="shared" si="3"/>
        <v>13.339839809310202</v>
      </c>
      <c r="J110" s="38"/>
      <c r="K110" s="14"/>
    </row>
    <row r="111" spans="2:11" ht="18" hidden="1">
      <c r="B111" s="21" t="s">
        <v>22</v>
      </c>
      <c r="C111" s="40" t="s">
        <v>48</v>
      </c>
      <c r="D111" s="37">
        <v>3893517</v>
      </c>
      <c r="E111" s="37"/>
      <c r="F111" s="37"/>
      <c r="G111" s="37"/>
      <c r="H111" s="2">
        <f t="shared" si="2"/>
        <v>0</v>
      </c>
      <c r="I111" s="54">
        <f t="shared" si="3"/>
        <v>0</v>
      </c>
      <c r="J111" s="38"/>
      <c r="K111" s="14"/>
    </row>
    <row r="112" spans="2:11" s="8" customFormat="1" ht="18">
      <c r="B112" s="19">
        <v>18</v>
      </c>
      <c r="C112" s="78" t="s">
        <v>94</v>
      </c>
      <c r="D112" s="20">
        <f>D113+D114+D115+D116+D117</f>
        <v>2068668</v>
      </c>
      <c r="E112" s="20">
        <f>E113+E114+E115+E116+E117</f>
        <v>264466.48</v>
      </c>
      <c r="F112" s="20">
        <f>F113+F114+F115+F116+F117</f>
        <v>0</v>
      </c>
      <c r="G112" s="20">
        <f>G113+G114+G115+G116+G117</f>
        <v>0</v>
      </c>
      <c r="H112" s="20">
        <f>H113+H114+H115+H116+H117</f>
        <v>264466.48</v>
      </c>
      <c r="I112" s="43">
        <v>84</v>
      </c>
      <c r="J112" s="72" t="s">
        <v>10</v>
      </c>
      <c r="K112" s="15"/>
    </row>
    <row r="113" spans="2:11" ht="18" hidden="1">
      <c r="B113" s="21" t="s">
        <v>18</v>
      </c>
      <c r="C113" s="40" t="s">
        <v>44</v>
      </c>
      <c r="D113" s="37">
        <v>1180268</v>
      </c>
      <c r="E113" s="37">
        <v>264097.72</v>
      </c>
      <c r="F113" s="37">
        <v>0</v>
      </c>
      <c r="G113" s="37">
        <v>0</v>
      </c>
      <c r="H113" s="2">
        <f t="shared" si="2"/>
        <v>264097.72</v>
      </c>
      <c r="I113" s="54">
        <f t="shared" si="3"/>
        <v>22.376080686759277</v>
      </c>
      <c r="J113" s="38"/>
      <c r="K113" s="15"/>
    </row>
    <row r="114" spans="2:11" ht="18" hidden="1">
      <c r="B114" s="21" t="s">
        <v>19</v>
      </c>
      <c r="C114" s="40" t="s">
        <v>45</v>
      </c>
      <c r="D114" s="37">
        <v>213892</v>
      </c>
      <c r="E114" s="37">
        <v>368.76</v>
      </c>
      <c r="F114" s="37">
        <v>0</v>
      </c>
      <c r="G114" s="37">
        <v>0</v>
      </c>
      <c r="H114" s="2">
        <f t="shared" si="2"/>
        <v>368.76</v>
      </c>
      <c r="I114" s="54">
        <f t="shared" si="3"/>
        <v>0.17240476502159968</v>
      </c>
      <c r="J114" s="38"/>
      <c r="K114" s="14"/>
    </row>
    <row r="115" spans="2:11" ht="18" hidden="1">
      <c r="B115" s="21" t="s">
        <v>20</v>
      </c>
      <c r="C115" s="40" t="s">
        <v>46</v>
      </c>
      <c r="D115" s="37">
        <v>138000</v>
      </c>
      <c r="E115" s="37">
        <f>0</f>
        <v>0</v>
      </c>
      <c r="F115" s="37">
        <v>0</v>
      </c>
      <c r="G115" s="37">
        <v>0</v>
      </c>
      <c r="H115" s="2">
        <f t="shared" si="2"/>
        <v>0</v>
      </c>
      <c r="I115" s="54">
        <f t="shared" si="3"/>
        <v>0</v>
      </c>
      <c r="J115" s="38"/>
      <c r="K115" s="14"/>
    </row>
    <row r="116" spans="2:11" ht="18" hidden="1">
      <c r="B116" s="21" t="s">
        <v>21</v>
      </c>
      <c r="C116" s="40" t="s">
        <v>47</v>
      </c>
      <c r="D116" s="37">
        <v>5000</v>
      </c>
      <c r="E116" s="37">
        <v>0</v>
      </c>
      <c r="F116" s="37">
        <v>0</v>
      </c>
      <c r="G116" s="37">
        <v>0</v>
      </c>
      <c r="H116" s="2">
        <f t="shared" si="2"/>
        <v>0</v>
      </c>
      <c r="I116" s="54">
        <f t="shared" si="3"/>
        <v>0</v>
      </c>
      <c r="J116" s="38"/>
      <c r="K116" s="14"/>
    </row>
    <row r="117" spans="2:11" ht="18" hidden="1">
      <c r="B117" s="21" t="s">
        <v>22</v>
      </c>
      <c r="C117" s="40" t="s">
        <v>48</v>
      </c>
      <c r="D117" s="37">
        <v>531508</v>
      </c>
      <c r="E117" s="37"/>
      <c r="F117" s="37">
        <v>0</v>
      </c>
      <c r="G117" s="37">
        <v>0</v>
      </c>
      <c r="H117" s="2">
        <f t="shared" si="2"/>
        <v>0</v>
      </c>
      <c r="I117" s="54">
        <f t="shared" si="3"/>
        <v>0</v>
      </c>
      <c r="J117" s="38"/>
      <c r="K117" s="14"/>
    </row>
    <row r="118" spans="2:11" s="8" customFormat="1" ht="18">
      <c r="B118" s="19">
        <v>19</v>
      </c>
      <c r="C118" s="78" t="s">
        <v>124</v>
      </c>
      <c r="D118" s="20">
        <f>D119+D120+D121+D122+D123</f>
        <v>11524978</v>
      </c>
      <c r="E118" s="20">
        <f>E119+E120+E121+E122+E123</f>
        <v>1857601.18</v>
      </c>
      <c r="F118" s="20">
        <f>F119+F120+F121+F122+F123</f>
        <v>55813.03</v>
      </c>
      <c r="G118" s="20">
        <f>G119+G120+G121+G122+G123</f>
        <v>3248</v>
      </c>
      <c r="H118" s="20">
        <f>H119+H120+H121+H122+H123</f>
        <v>1916662.21</v>
      </c>
      <c r="I118" s="43">
        <v>98</v>
      </c>
      <c r="J118" s="72" t="s">
        <v>25</v>
      </c>
      <c r="K118" s="14"/>
    </row>
    <row r="119" spans="2:11" ht="18" hidden="1">
      <c r="B119" s="21" t="s">
        <v>18</v>
      </c>
      <c r="C119" s="40" t="s">
        <v>44</v>
      </c>
      <c r="D119" s="37">
        <v>6788879</v>
      </c>
      <c r="E119" s="37">
        <v>1698448.17</v>
      </c>
      <c r="F119" s="37">
        <v>6540</v>
      </c>
      <c r="G119" s="37"/>
      <c r="H119" s="2">
        <f t="shared" si="2"/>
        <v>1704988.17</v>
      </c>
      <c r="I119" s="54">
        <f t="shared" si="3"/>
        <v>25.114428611851825</v>
      </c>
      <c r="J119" s="29"/>
      <c r="K119" s="15"/>
    </row>
    <row r="120" spans="2:11" ht="18" hidden="1">
      <c r="B120" s="30" t="s">
        <v>19</v>
      </c>
      <c r="C120" s="40" t="s">
        <v>45</v>
      </c>
      <c r="D120" s="37">
        <v>1049674</v>
      </c>
      <c r="E120" s="37">
        <v>81370.04</v>
      </c>
      <c r="F120" s="37">
        <v>29267.08</v>
      </c>
      <c r="G120" s="37">
        <v>3248</v>
      </c>
      <c r="H120" s="2">
        <f t="shared" si="2"/>
        <v>113885.12</v>
      </c>
      <c r="I120" s="54">
        <f t="shared" si="3"/>
        <v>10.849570438059816</v>
      </c>
      <c r="J120" s="38"/>
      <c r="K120" s="14"/>
    </row>
    <row r="121" spans="2:11" ht="18" hidden="1">
      <c r="B121" s="30" t="s">
        <v>20</v>
      </c>
      <c r="C121" s="40" t="s">
        <v>46</v>
      </c>
      <c r="D121" s="37">
        <v>371222</v>
      </c>
      <c r="E121" s="37">
        <v>50269.97</v>
      </c>
      <c r="F121" s="37">
        <v>1842.07</v>
      </c>
      <c r="G121" s="37"/>
      <c r="H121" s="2">
        <f t="shared" si="2"/>
        <v>52112.04</v>
      </c>
      <c r="I121" s="54">
        <f t="shared" si="3"/>
        <v>14.037971887442016</v>
      </c>
      <c r="J121" s="38"/>
      <c r="K121" s="14"/>
    </row>
    <row r="122" spans="2:11" ht="18" hidden="1">
      <c r="B122" s="30" t="s">
        <v>21</v>
      </c>
      <c r="C122" s="40" t="s">
        <v>47</v>
      </c>
      <c r="D122" s="37">
        <v>211054</v>
      </c>
      <c r="E122" s="37">
        <v>8200</v>
      </c>
      <c r="F122" s="37">
        <v>18163.88</v>
      </c>
      <c r="G122" s="37"/>
      <c r="H122" s="2">
        <f t="shared" si="2"/>
        <v>26363.88</v>
      </c>
      <c r="I122" s="54">
        <f t="shared" si="3"/>
        <v>12.491532972604167</v>
      </c>
      <c r="J122" s="38"/>
      <c r="K122" s="14"/>
    </row>
    <row r="123" spans="2:11" ht="18" hidden="1">
      <c r="B123" s="30" t="s">
        <v>22</v>
      </c>
      <c r="C123" s="40" t="s">
        <v>48</v>
      </c>
      <c r="D123" s="37">
        <v>3104149</v>
      </c>
      <c r="E123" s="37">
        <v>19313</v>
      </c>
      <c r="F123" s="37"/>
      <c r="G123" s="37"/>
      <c r="H123" s="2">
        <f t="shared" si="2"/>
        <v>19313</v>
      </c>
      <c r="I123" s="54">
        <f t="shared" si="3"/>
        <v>0.6221672993145626</v>
      </c>
      <c r="J123" s="38"/>
      <c r="K123" s="14"/>
    </row>
    <row r="124" spans="2:11" s="8" customFormat="1" ht="18">
      <c r="B124" s="19">
        <v>20</v>
      </c>
      <c r="C124" s="78" t="s">
        <v>125</v>
      </c>
      <c r="D124" s="20">
        <f>D125+D126+D127+D128+D129</f>
        <v>6185016</v>
      </c>
      <c r="E124" s="25">
        <f>E125+E126+E127+E128+E129</f>
        <v>1150206.74</v>
      </c>
      <c r="F124" s="25">
        <f>F125+F126+F127+F128+F129</f>
        <v>48696.77</v>
      </c>
      <c r="G124" s="25">
        <f>G125+G126+G127+G128+G129</f>
        <v>94762.92</v>
      </c>
      <c r="H124" s="25">
        <f>H125+H126+H127+H128+H129</f>
        <v>1293666.43</v>
      </c>
      <c r="I124" s="43">
        <v>98</v>
      </c>
      <c r="J124" s="72" t="s">
        <v>11</v>
      </c>
      <c r="K124" s="14"/>
    </row>
    <row r="125" spans="2:11" ht="18" hidden="1">
      <c r="B125" s="21" t="s">
        <v>18</v>
      </c>
      <c r="C125" s="40" t="s">
        <v>44</v>
      </c>
      <c r="D125" s="37">
        <v>3838652</v>
      </c>
      <c r="E125" s="37">
        <v>994222.6</v>
      </c>
      <c r="F125" s="37"/>
      <c r="G125" s="37"/>
      <c r="H125" s="2">
        <f t="shared" si="2"/>
        <v>994222.6</v>
      </c>
      <c r="I125" s="54">
        <f t="shared" si="3"/>
        <v>25.90030562812154</v>
      </c>
      <c r="J125" s="38"/>
      <c r="K125" s="15"/>
    </row>
    <row r="126" spans="2:11" ht="18" hidden="1">
      <c r="B126" s="21" t="s">
        <v>19</v>
      </c>
      <c r="C126" s="40" t="s">
        <v>45</v>
      </c>
      <c r="D126" s="37">
        <v>579890</v>
      </c>
      <c r="E126" s="37">
        <v>131363.53</v>
      </c>
      <c r="F126" s="37">
        <v>1810.52</v>
      </c>
      <c r="G126" s="37"/>
      <c r="H126" s="2">
        <f t="shared" si="2"/>
        <v>133174.05</v>
      </c>
      <c r="I126" s="54">
        <f t="shared" si="3"/>
        <v>22.96539861008122</v>
      </c>
      <c r="J126" s="38"/>
      <c r="K126" s="14"/>
    </row>
    <row r="127" spans="2:11" ht="18" hidden="1">
      <c r="B127" s="21" t="s">
        <v>20</v>
      </c>
      <c r="C127" s="40" t="s">
        <v>46</v>
      </c>
      <c r="D127" s="37">
        <v>134400</v>
      </c>
      <c r="E127" s="37">
        <v>23820.61</v>
      </c>
      <c r="F127" s="37"/>
      <c r="G127" s="37"/>
      <c r="H127" s="2">
        <f t="shared" si="2"/>
        <v>23820.61</v>
      </c>
      <c r="I127" s="54">
        <f t="shared" si="3"/>
        <v>17.723668154761903</v>
      </c>
      <c r="J127" s="38"/>
      <c r="K127" s="14"/>
    </row>
    <row r="128" spans="2:11" ht="18" hidden="1">
      <c r="B128" s="21" t="s">
        <v>21</v>
      </c>
      <c r="C128" s="40" t="s">
        <v>47</v>
      </c>
      <c r="D128" s="37">
        <v>100000</v>
      </c>
      <c r="E128" s="37"/>
      <c r="F128" s="37">
        <v>886.25</v>
      </c>
      <c r="G128" s="37">
        <v>3200</v>
      </c>
      <c r="H128" s="2">
        <f t="shared" si="2"/>
        <v>4086.25</v>
      </c>
      <c r="I128" s="54">
        <f t="shared" si="3"/>
        <v>4.086250000000001</v>
      </c>
      <c r="J128" s="38"/>
      <c r="K128" s="14"/>
    </row>
    <row r="129" spans="2:11" ht="18" hidden="1">
      <c r="B129" s="21" t="s">
        <v>22</v>
      </c>
      <c r="C129" s="40" t="s">
        <v>48</v>
      </c>
      <c r="D129" s="37">
        <v>1532074</v>
      </c>
      <c r="E129" s="37">
        <v>800</v>
      </c>
      <c r="F129" s="37">
        <v>46000</v>
      </c>
      <c r="G129" s="37">
        <v>91562.92</v>
      </c>
      <c r="H129" s="2">
        <f t="shared" si="2"/>
        <v>138362.91999999998</v>
      </c>
      <c r="I129" s="54">
        <f t="shared" si="3"/>
        <v>9.031085965821493</v>
      </c>
      <c r="J129" s="38"/>
      <c r="K129" s="14"/>
    </row>
    <row r="130" spans="2:11" s="8" customFormat="1" ht="18">
      <c r="B130" s="19">
        <v>21</v>
      </c>
      <c r="C130" s="78" t="s">
        <v>91</v>
      </c>
      <c r="D130" s="20">
        <f>D131+D132+D133+D134+D135</f>
        <v>8110857</v>
      </c>
      <c r="E130" s="20">
        <f>E131+E132+E133+E134+E135</f>
        <v>1308311.93</v>
      </c>
      <c r="F130" s="20">
        <f>F131+F132+F133+F134+F135</f>
        <v>22576.9</v>
      </c>
      <c r="G130" s="20">
        <f>G131+G132+G133+G134+G135</f>
        <v>0</v>
      </c>
      <c r="H130" s="20">
        <f>H131+H132+H133+H134+H135</f>
        <v>1330888.8299999998</v>
      </c>
      <c r="I130" s="43">
        <v>93</v>
      </c>
      <c r="J130" s="72" t="s">
        <v>12</v>
      </c>
      <c r="K130" s="14"/>
    </row>
    <row r="131" spans="2:11" ht="18" hidden="1">
      <c r="B131" s="21" t="s">
        <v>18</v>
      </c>
      <c r="C131" s="40" t="s">
        <v>44</v>
      </c>
      <c r="D131" s="37">
        <v>4672929</v>
      </c>
      <c r="E131" s="37">
        <v>1172410.53</v>
      </c>
      <c r="F131" s="37"/>
      <c r="G131" s="37"/>
      <c r="H131" s="2">
        <f t="shared" si="2"/>
        <v>1172410.53</v>
      </c>
      <c r="I131" s="54">
        <f t="shared" si="3"/>
        <v>25.08941458344435</v>
      </c>
      <c r="J131" s="38"/>
      <c r="K131" s="15"/>
    </row>
    <row r="132" spans="2:11" ht="18" hidden="1">
      <c r="B132" s="21" t="s">
        <v>19</v>
      </c>
      <c r="C132" s="40" t="s">
        <v>45</v>
      </c>
      <c r="D132" s="37">
        <v>937702</v>
      </c>
      <c r="E132" s="37">
        <v>96061.42</v>
      </c>
      <c r="F132" s="37"/>
      <c r="G132" s="37"/>
      <c r="H132" s="2">
        <f t="shared" si="2"/>
        <v>96061.42</v>
      </c>
      <c r="I132" s="54">
        <f t="shared" si="3"/>
        <v>10.244344151980053</v>
      </c>
      <c r="J132" s="38"/>
      <c r="K132" s="15"/>
    </row>
    <row r="133" spans="2:11" ht="18" hidden="1">
      <c r="B133" s="21" t="s">
        <v>20</v>
      </c>
      <c r="C133" s="40" t="s">
        <v>46</v>
      </c>
      <c r="D133" s="37">
        <v>201578</v>
      </c>
      <c r="E133" s="37">
        <v>39839.98</v>
      </c>
      <c r="F133" s="37"/>
      <c r="G133" s="37"/>
      <c r="H133" s="2">
        <f t="shared" si="2"/>
        <v>39839.98</v>
      </c>
      <c r="I133" s="54">
        <f t="shared" si="3"/>
        <v>19.76405163261864</v>
      </c>
      <c r="J133" s="38"/>
      <c r="K133" s="14"/>
    </row>
    <row r="134" spans="2:11" ht="18" hidden="1">
      <c r="B134" s="21" t="s">
        <v>21</v>
      </c>
      <c r="C134" s="40" t="s">
        <v>47</v>
      </c>
      <c r="D134" s="37">
        <v>80000</v>
      </c>
      <c r="E134" s="37"/>
      <c r="F134" s="37">
        <v>22576.9</v>
      </c>
      <c r="G134" s="37"/>
      <c r="H134" s="2">
        <f t="shared" si="2"/>
        <v>22576.9</v>
      </c>
      <c r="I134" s="54">
        <f t="shared" si="3"/>
        <v>28.221125</v>
      </c>
      <c r="J134" s="38"/>
      <c r="K134" s="14"/>
    </row>
    <row r="135" spans="2:11" ht="18" hidden="1">
      <c r="B135" s="21" t="s">
        <v>22</v>
      </c>
      <c r="C135" s="40" t="s">
        <v>48</v>
      </c>
      <c r="D135" s="37">
        <v>2218648</v>
      </c>
      <c r="E135" s="37"/>
      <c r="F135" s="37"/>
      <c r="G135" s="37"/>
      <c r="H135" s="2">
        <f t="shared" si="2"/>
        <v>0</v>
      </c>
      <c r="I135" s="54">
        <f t="shared" si="3"/>
        <v>0</v>
      </c>
      <c r="J135" s="38"/>
      <c r="K135" s="14"/>
    </row>
    <row r="136" spans="2:11" s="8" customFormat="1" ht="18">
      <c r="B136" s="19">
        <v>22</v>
      </c>
      <c r="C136" s="78" t="s">
        <v>13</v>
      </c>
      <c r="D136" s="20">
        <f>D137+D138+D139+D140+D141</f>
        <v>1496204</v>
      </c>
      <c r="E136" s="20">
        <f>E137+E138+E139+E140+E141</f>
        <v>196990.66</v>
      </c>
      <c r="F136" s="20">
        <f>F137+F138+F139+F140+F141</f>
        <v>0</v>
      </c>
      <c r="G136" s="20">
        <f>G137+G138+G139+G140+G141</f>
        <v>0</v>
      </c>
      <c r="H136" s="20">
        <f>H137+H138+H139+H140+H141</f>
        <v>196990.66</v>
      </c>
      <c r="I136" s="43">
        <v>93</v>
      </c>
      <c r="J136" s="72" t="s">
        <v>13</v>
      </c>
      <c r="K136" s="14"/>
    </row>
    <row r="137" spans="2:11" ht="18" hidden="1">
      <c r="B137" s="21" t="s">
        <v>18</v>
      </c>
      <c r="C137" s="40" t="s">
        <v>44</v>
      </c>
      <c r="D137" s="37">
        <v>921538</v>
      </c>
      <c r="E137" s="37">
        <v>192185.66</v>
      </c>
      <c r="F137" s="37">
        <v>0</v>
      </c>
      <c r="G137" s="37"/>
      <c r="H137" s="2">
        <f t="shared" si="2"/>
        <v>192185.66</v>
      </c>
      <c r="I137" s="54">
        <f t="shared" si="3"/>
        <v>20.85488173032474</v>
      </c>
      <c r="J137" s="38"/>
      <c r="K137" s="14"/>
    </row>
    <row r="138" spans="2:11" ht="18" hidden="1">
      <c r="B138" s="21" t="s">
        <v>19</v>
      </c>
      <c r="C138" s="40" t="s">
        <v>45</v>
      </c>
      <c r="D138" s="37">
        <v>82928</v>
      </c>
      <c r="E138" s="37">
        <v>4805</v>
      </c>
      <c r="F138" s="37">
        <v>0</v>
      </c>
      <c r="G138" s="37"/>
      <c r="H138" s="2">
        <f aca="true" t="shared" si="4" ref="H138:H201">E138+F138+G138</f>
        <v>4805</v>
      </c>
      <c r="I138" s="54">
        <f t="shared" si="3"/>
        <v>5.794182905653097</v>
      </c>
      <c r="J138" s="38"/>
      <c r="K138" s="14"/>
    </row>
    <row r="139" spans="2:11" ht="18" hidden="1">
      <c r="B139" s="21" t="s">
        <v>20</v>
      </c>
      <c r="C139" s="40" t="s">
        <v>46</v>
      </c>
      <c r="D139" s="37">
        <v>3000</v>
      </c>
      <c r="E139" s="37"/>
      <c r="F139" s="37">
        <v>0</v>
      </c>
      <c r="G139" s="37"/>
      <c r="H139" s="2">
        <f t="shared" si="4"/>
        <v>0</v>
      </c>
      <c r="I139" s="54">
        <f aca="true" t="shared" si="5" ref="I139:I145">H139/D139*100</f>
        <v>0</v>
      </c>
      <c r="J139" s="38"/>
      <c r="K139" s="14"/>
    </row>
    <row r="140" spans="2:11" ht="18" hidden="1">
      <c r="B140" s="21" t="s">
        <v>21</v>
      </c>
      <c r="C140" s="40" t="s">
        <v>47</v>
      </c>
      <c r="D140" s="37">
        <f>4800</f>
        <v>4800</v>
      </c>
      <c r="E140" s="37"/>
      <c r="F140" s="37">
        <v>0</v>
      </c>
      <c r="G140" s="37"/>
      <c r="H140" s="2">
        <f t="shared" si="4"/>
        <v>0</v>
      </c>
      <c r="I140" s="54">
        <f t="shared" si="5"/>
        <v>0</v>
      </c>
      <c r="J140" s="38"/>
      <c r="K140" s="14"/>
    </row>
    <row r="141" spans="2:11" ht="18" hidden="1">
      <c r="B141" s="21" t="s">
        <v>22</v>
      </c>
      <c r="C141" s="40" t="s">
        <v>48</v>
      </c>
      <c r="D141" s="37">
        <v>483938</v>
      </c>
      <c r="E141" s="37"/>
      <c r="F141" s="37">
        <v>0</v>
      </c>
      <c r="G141" s="37"/>
      <c r="H141" s="2">
        <f t="shared" si="4"/>
        <v>0</v>
      </c>
      <c r="I141" s="54">
        <f t="shared" si="5"/>
        <v>0</v>
      </c>
      <c r="J141" s="38"/>
      <c r="K141" s="14"/>
    </row>
    <row r="142" spans="2:11" s="8" customFormat="1" ht="18">
      <c r="B142" s="19">
        <v>23</v>
      </c>
      <c r="C142" s="78" t="s">
        <v>126</v>
      </c>
      <c r="D142" s="20">
        <f>D143+D144+D145+D146+D147</f>
        <v>1399220</v>
      </c>
      <c r="E142" s="20">
        <f>E143+E144+E145+E146+E147</f>
        <v>140081.52000000002</v>
      </c>
      <c r="F142" s="20">
        <f>F143+F144+F145+F146+F147</f>
        <v>0</v>
      </c>
      <c r="G142" s="20">
        <f>G143+G144+G145+G146+G147</f>
        <v>0</v>
      </c>
      <c r="H142" s="20">
        <f>H143+H144+H145+H146+H147</f>
        <v>140081.52000000002</v>
      </c>
      <c r="I142" s="43">
        <v>87</v>
      </c>
      <c r="J142" s="72" t="s">
        <v>35</v>
      </c>
      <c r="K142" s="14"/>
    </row>
    <row r="143" spans="2:11" ht="18" hidden="1">
      <c r="B143" s="21" t="s">
        <v>18</v>
      </c>
      <c r="C143" s="40" t="s">
        <v>44</v>
      </c>
      <c r="D143" s="37">
        <v>652112</v>
      </c>
      <c r="E143" s="37">
        <v>139509.6</v>
      </c>
      <c r="F143" s="37">
        <v>0</v>
      </c>
      <c r="G143" s="37">
        <v>0</v>
      </c>
      <c r="H143" s="2">
        <f t="shared" si="4"/>
        <v>139509.6</v>
      </c>
      <c r="I143" s="54">
        <f t="shared" si="5"/>
        <v>21.39350295654734</v>
      </c>
      <c r="J143" s="24"/>
      <c r="K143" s="15"/>
    </row>
    <row r="144" spans="2:11" ht="18" hidden="1">
      <c r="B144" s="21" t="s">
        <v>19</v>
      </c>
      <c r="C144" s="40" t="s">
        <v>45</v>
      </c>
      <c r="D144" s="37">
        <v>140951</v>
      </c>
      <c r="E144" s="37">
        <v>571.92</v>
      </c>
      <c r="F144" s="37">
        <v>0</v>
      </c>
      <c r="G144" s="37">
        <v>0</v>
      </c>
      <c r="H144" s="2">
        <f t="shared" si="4"/>
        <v>571.92</v>
      </c>
      <c r="I144" s="54">
        <f t="shared" si="5"/>
        <v>0.4057580293860987</v>
      </c>
      <c r="J144" s="24"/>
      <c r="K144" s="14"/>
    </row>
    <row r="145" spans="2:11" ht="18" hidden="1">
      <c r="B145" s="21" t="s">
        <v>20</v>
      </c>
      <c r="C145" s="40" t="s">
        <v>46</v>
      </c>
      <c r="D145" s="37">
        <v>83800</v>
      </c>
      <c r="E145" s="37"/>
      <c r="F145" s="37">
        <v>0</v>
      </c>
      <c r="G145" s="37">
        <v>0</v>
      </c>
      <c r="H145" s="2">
        <f t="shared" si="4"/>
        <v>0</v>
      </c>
      <c r="I145" s="54">
        <f t="shared" si="5"/>
        <v>0</v>
      </c>
      <c r="J145" s="24"/>
      <c r="K145" s="14"/>
    </row>
    <row r="146" spans="2:11" ht="18" hidden="1">
      <c r="B146" s="21" t="s">
        <v>21</v>
      </c>
      <c r="C146" s="40" t="s">
        <v>47</v>
      </c>
      <c r="D146" s="37">
        <v>0</v>
      </c>
      <c r="E146" s="37"/>
      <c r="F146" s="37">
        <v>0</v>
      </c>
      <c r="G146" s="37">
        <v>0</v>
      </c>
      <c r="H146" s="2">
        <f t="shared" si="4"/>
        <v>0</v>
      </c>
      <c r="I146" s="54">
        <v>0</v>
      </c>
      <c r="J146" s="24"/>
      <c r="K146" s="14"/>
    </row>
    <row r="147" spans="2:12" ht="18" hidden="1">
      <c r="B147" s="21" t="s">
        <v>22</v>
      </c>
      <c r="C147" s="40" t="s">
        <v>48</v>
      </c>
      <c r="D147" s="37">
        <v>522357</v>
      </c>
      <c r="E147" s="37"/>
      <c r="F147" s="37">
        <v>0</v>
      </c>
      <c r="G147" s="37">
        <v>0</v>
      </c>
      <c r="H147" s="2">
        <f t="shared" si="4"/>
        <v>0</v>
      </c>
      <c r="I147" s="54">
        <f aca="true" t="shared" si="6" ref="I147:I169">H147/D147*100</f>
        <v>0</v>
      </c>
      <c r="J147" s="24"/>
      <c r="K147" s="16"/>
      <c r="L147" s="11"/>
    </row>
    <row r="148" spans="2:12" s="8" customFormat="1" ht="18">
      <c r="B148" s="19">
        <v>24</v>
      </c>
      <c r="C148" s="78" t="s">
        <v>127</v>
      </c>
      <c r="D148" s="20">
        <f>D149+D150+D151+D152+D153</f>
        <v>13694278</v>
      </c>
      <c r="E148" s="20">
        <f>E149+E150+E151+E152+E153</f>
        <v>2425090.96</v>
      </c>
      <c r="F148" s="20">
        <f>F149+F150+F151+F152+F153</f>
        <v>159281.39</v>
      </c>
      <c r="G148" s="20">
        <f>G149+G150+G151+G152+G153</f>
        <v>125840.22</v>
      </c>
      <c r="H148" s="20">
        <f>H149+H150+H151+H152+H153</f>
        <v>2710212.5700000003</v>
      </c>
      <c r="I148" s="43">
        <v>97</v>
      </c>
      <c r="J148" s="72" t="s">
        <v>14</v>
      </c>
      <c r="K148" s="17"/>
      <c r="L148" s="12"/>
    </row>
    <row r="149" spans="2:11" ht="18" hidden="1">
      <c r="B149" s="21" t="s">
        <v>18</v>
      </c>
      <c r="C149" s="40" t="s">
        <v>44</v>
      </c>
      <c r="D149" s="37">
        <v>8226410</v>
      </c>
      <c r="E149" s="37">
        <v>1961237.14</v>
      </c>
      <c r="F149" s="37">
        <v>30351.04</v>
      </c>
      <c r="G149" s="37"/>
      <c r="H149" s="2">
        <f t="shared" si="4"/>
        <v>1991588.18</v>
      </c>
      <c r="I149" s="54">
        <f t="shared" si="6"/>
        <v>24.2096878225131</v>
      </c>
      <c r="J149" s="24"/>
      <c r="K149" s="15"/>
    </row>
    <row r="150" spans="2:11" ht="18" hidden="1">
      <c r="B150" s="21" t="s">
        <v>19</v>
      </c>
      <c r="C150" s="40" t="s">
        <v>45</v>
      </c>
      <c r="D150" s="37">
        <v>1782346</v>
      </c>
      <c r="E150" s="37">
        <v>250203.7</v>
      </c>
      <c r="F150" s="37">
        <v>71995.35</v>
      </c>
      <c r="G150" s="37">
        <v>87500.22</v>
      </c>
      <c r="H150" s="2">
        <f t="shared" si="4"/>
        <v>409699.27</v>
      </c>
      <c r="I150" s="54">
        <f t="shared" si="6"/>
        <v>22.98651720821883</v>
      </c>
      <c r="J150" s="24"/>
      <c r="K150" s="15"/>
    </row>
    <row r="151" spans="2:11" ht="18" hidden="1">
      <c r="B151" s="21" t="s">
        <v>20</v>
      </c>
      <c r="C151" s="40" t="s">
        <v>46</v>
      </c>
      <c r="D151" s="37">
        <v>344400</v>
      </c>
      <c r="E151" s="37">
        <v>74453.92</v>
      </c>
      <c r="F151" s="37"/>
      <c r="G151" s="37"/>
      <c r="H151" s="2">
        <f t="shared" si="4"/>
        <v>74453.92</v>
      </c>
      <c r="I151" s="54">
        <f t="shared" si="6"/>
        <v>21.618443670150985</v>
      </c>
      <c r="J151" s="24"/>
      <c r="K151" s="14"/>
    </row>
    <row r="152" spans="2:11" ht="18" hidden="1">
      <c r="B152" s="21" t="s">
        <v>21</v>
      </c>
      <c r="C152" s="40" t="s">
        <v>47</v>
      </c>
      <c r="D152" s="37">
        <v>119000</v>
      </c>
      <c r="E152" s="37"/>
      <c r="F152" s="37">
        <v>52000</v>
      </c>
      <c r="G152" s="37">
        <v>38340</v>
      </c>
      <c r="H152" s="2">
        <f t="shared" si="4"/>
        <v>90340</v>
      </c>
      <c r="I152" s="54">
        <f t="shared" si="6"/>
        <v>75.91596638655463</v>
      </c>
      <c r="J152" s="24"/>
      <c r="K152" s="15"/>
    </row>
    <row r="153" spans="2:11" ht="18" hidden="1">
      <c r="B153" s="21" t="s">
        <v>22</v>
      </c>
      <c r="C153" s="40" t="s">
        <v>48</v>
      </c>
      <c r="D153" s="37">
        <v>3222122</v>
      </c>
      <c r="E153" s="37">
        <v>139196.2</v>
      </c>
      <c r="F153" s="37">
        <v>4935</v>
      </c>
      <c r="G153" s="37"/>
      <c r="H153" s="2">
        <f t="shared" si="4"/>
        <v>144131.2</v>
      </c>
      <c r="I153" s="54">
        <f t="shared" si="6"/>
        <v>4.473176372589244</v>
      </c>
      <c r="J153" s="24"/>
      <c r="K153" s="14"/>
    </row>
    <row r="154" spans="2:11" s="8" customFormat="1" ht="18">
      <c r="B154" s="19">
        <v>25</v>
      </c>
      <c r="C154" s="78" t="s">
        <v>88</v>
      </c>
      <c r="D154" s="20">
        <f>D155+D156+D157+D158+D159</f>
        <v>3640359</v>
      </c>
      <c r="E154" s="20">
        <f>E155+E156+E157+E158+E159</f>
        <v>646616.08</v>
      </c>
      <c r="F154" s="20">
        <f>F155+F156+F157+F158+F159</f>
        <v>10580</v>
      </c>
      <c r="G154" s="20">
        <f>G155+G156+G157+G158+G159</f>
        <v>1311.32</v>
      </c>
      <c r="H154" s="20">
        <f>H155+H156+H157+H158+H159</f>
        <v>658507.4</v>
      </c>
      <c r="I154" s="43">
        <v>94</v>
      </c>
      <c r="J154" s="72" t="s">
        <v>15</v>
      </c>
      <c r="K154" s="15"/>
    </row>
    <row r="155" spans="2:11" ht="18" hidden="1">
      <c r="B155" s="21" t="s">
        <v>18</v>
      </c>
      <c r="C155" s="40" t="s">
        <v>44</v>
      </c>
      <c r="D155" s="37">
        <v>2431272</v>
      </c>
      <c r="E155" s="37">
        <v>605998.51</v>
      </c>
      <c r="F155" s="37"/>
      <c r="G155" s="37"/>
      <c r="H155" s="2">
        <f t="shared" si="4"/>
        <v>605998.51</v>
      </c>
      <c r="I155" s="54">
        <f t="shared" si="6"/>
        <v>24.925163042226455</v>
      </c>
      <c r="J155" s="24"/>
      <c r="K155" s="15"/>
    </row>
    <row r="156" spans="2:11" ht="18" hidden="1">
      <c r="B156" s="21" t="s">
        <v>19</v>
      </c>
      <c r="C156" s="40" t="s">
        <v>45</v>
      </c>
      <c r="D156" s="37">
        <v>355267</v>
      </c>
      <c r="E156" s="37">
        <v>30169.47</v>
      </c>
      <c r="F156" s="37"/>
      <c r="G156" s="37"/>
      <c r="H156" s="2">
        <f t="shared" si="4"/>
        <v>30169.47</v>
      </c>
      <c r="I156" s="54">
        <f t="shared" si="6"/>
        <v>8.492055271105956</v>
      </c>
      <c r="J156" s="24"/>
      <c r="K156" s="14"/>
    </row>
    <row r="157" spans="2:11" ht="18" hidden="1">
      <c r="B157" s="21" t="s">
        <v>20</v>
      </c>
      <c r="C157" s="40" t="s">
        <v>46</v>
      </c>
      <c r="D157" s="37">
        <v>77500</v>
      </c>
      <c r="E157" s="37">
        <v>10448.1</v>
      </c>
      <c r="F157" s="37"/>
      <c r="G157" s="37">
        <v>1311.32</v>
      </c>
      <c r="H157" s="2">
        <f t="shared" si="4"/>
        <v>11759.42</v>
      </c>
      <c r="I157" s="54">
        <f t="shared" si="6"/>
        <v>15.173445161290323</v>
      </c>
      <c r="J157" s="24"/>
      <c r="K157" s="14"/>
    </row>
    <row r="158" spans="2:11" ht="18" hidden="1">
      <c r="B158" s="21" t="s">
        <v>21</v>
      </c>
      <c r="C158" s="40" t="s">
        <v>47</v>
      </c>
      <c r="D158" s="37">
        <v>41000</v>
      </c>
      <c r="E158" s="37"/>
      <c r="F158" s="37">
        <v>10580</v>
      </c>
      <c r="G158" s="37"/>
      <c r="H158" s="2">
        <f t="shared" si="4"/>
        <v>10580</v>
      </c>
      <c r="I158" s="54">
        <f t="shared" si="6"/>
        <v>25.804878048780488</v>
      </c>
      <c r="J158" s="24"/>
      <c r="K158" s="14"/>
    </row>
    <row r="159" spans="2:11" ht="18" hidden="1">
      <c r="B159" s="21" t="s">
        <v>22</v>
      </c>
      <c r="C159" s="40" t="s">
        <v>48</v>
      </c>
      <c r="D159" s="37">
        <v>735320</v>
      </c>
      <c r="E159" s="37"/>
      <c r="F159" s="37"/>
      <c r="G159" s="37"/>
      <c r="H159" s="2">
        <f t="shared" si="4"/>
        <v>0</v>
      </c>
      <c r="I159" s="54">
        <f t="shared" si="6"/>
        <v>0</v>
      </c>
      <c r="J159" s="24"/>
      <c r="K159" s="14"/>
    </row>
    <row r="160" spans="2:11" s="8" customFormat="1" ht="18">
      <c r="B160" s="19">
        <v>26</v>
      </c>
      <c r="C160" s="78" t="s">
        <v>128</v>
      </c>
      <c r="D160" s="20">
        <f>D161+D162+D163+D164+D165</f>
        <v>5802394</v>
      </c>
      <c r="E160" s="20">
        <f>E161+E162+E163+E164+E165</f>
        <v>1029869.3400000001</v>
      </c>
      <c r="F160" s="20">
        <f>F161+F162+F163+F164+F165</f>
        <v>47976.369999999995</v>
      </c>
      <c r="G160" s="20">
        <f>G161+G162+G163+G164+G165</f>
        <v>60214.67</v>
      </c>
      <c r="H160" s="20">
        <f>H161+H162+H163+H164+H165</f>
        <v>1138060.38</v>
      </c>
      <c r="I160" s="43">
        <v>94</v>
      </c>
      <c r="J160" s="72" t="s">
        <v>24</v>
      </c>
      <c r="K160" s="15"/>
    </row>
    <row r="161" spans="2:11" ht="18" hidden="1">
      <c r="B161" s="21" t="s">
        <v>18</v>
      </c>
      <c r="C161" s="40" t="s">
        <v>44</v>
      </c>
      <c r="D161" s="37">
        <v>3910447</v>
      </c>
      <c r="E161" s="37">
        <v>956564.93</v>
      </c>
      <c r="F161" s="37">
        <v>8600.96</v>
      </c>
      <c r="G161" s="37"/>
      <c r="H161" s="2">
        <f t="shared" si="4"/>
        <v>965165.89</v>
      </c>
      <c r="I161" s="54">
        <f t="shared" si="6"/>
        <v>24.681727945679867</v>
      </c>
      <c r="J161" s="24"/>
      <c r="K161" s="15"/>
    </row>
    <row r="162" spans="2:11" ht="18" hidden="1">
      <c r="B162" s="21" t="s">
        <v>19</v>
      </c>
      <c r="C162" s="40" t="s">
        <v>45</v>
      </c>
      <c r="D162" s="37">
        <v>642008</v>
      </c>
      <c r="E162" s="37">
        <v>35998.62</v>
      </c>
      <c r="F162" s="37">
        <v>11727.91</v>
      </c>
      <c r="G162" s="37">
        <v>38128.52</v>
      </c>
      <c r="H162" s="2">
        <f t="shared" si="4"/>
        <v>85855.04999999999</v>
      </c>
      <c r="I162" s="54">
        <f t="shared" si="6"/>
        <v>13.372894107238537</v>
      </c>
      <c r="J162" s="24"/>
      <c r="K162" s="14"/>
    </row>
    <row r="163" spans="2:11" ht="18" hidden="1">
      <c r="B163" s="21" t="s">
        <v>20</v>
      </c>
      <c r="C163" s="40" t="s">
        <v>46</v>
      </c>
      <c r="D163" s="37">
        <v>127757</v>
      </c>
      <c r="E163" s="37">
        <v>37305.79</v>
      </c>
      <c r="F163" s="37"/>
      <c r="G163" s="37"/>
      <c r="H163" s="2">
        <f t="shared" si="4"/>
        <v>37305.79</v>
      </c>
      <c r="I163" s="54">
        <f t="shared" si="6"/>
        <v>29.20058392103759</v>
      </c>
      <c r="J163" s="24"/>
      <c r="K163" s="14"/>
    </row>
    <row r="164" spans="2:11" ht="18" hidden="1">
      <c r="B164" s="21" t="s">
        <v>21</v>
      </c>
      <c r="C164" s="40" t="s">
        <v>47</v>
      </c>
      <c r="D164" s="37">
        <v>25000</v>
      </c>
      <c r="E164" s="37"/>
      <c r="F164" s="37">
        <v>5810</v>
      </c>
      <c r="G164" s="37">
        <v>3120</v>
      </c>
      <c r="H164" s="2">
        <f t="shared" si="4"/>
        <v>8930</v>
      </c>
      <c r="I164" s="54">
        <f t="shared" si="6"/>
        <v>35.72</v>
      </c>
      <c r="J164" s="24"/>
      <c r="K164" s="15"/>
    </row>
    <row r="165" spans="2:11" ht="18" hidden="1">
      <c r="B165" s="21" t="s">
        <v>22</v>
      </c>
      <c r="C165" s="40" t="s">
        <v>48</v>
      </c>
      <c r="D165" s="37">
        <v>1097182</v>
      </c>
      <c r="E165" s="37"/>
      <c r="F165" s="37">
        <v>21837.5</v>
      </c>
      <c r="G165" s="37">
        <v>18966.15</v>
      </c>
      <c r="H165" s="2">
        <f t="shared" si="4"/>
        <v>40803.65</v>
      </c>
      <c r="I165" s="54">
        <f t="shared" si="6"/>
        <v>3.7189500010025682</v>
      </c>
      <c r="J165" s="24"/>
      <c r="K165" s="14"/>
    </row>
    <row r="166" spans="2:11" s="8" customFormat="1" ht="18">
      <c r="B166" s="19">
        <v>27</v>
      </c>
      <c r="C166" s="78" t="s">
        <v>129</v>
      </c>
      <c r="D166" s="20">
        <f>D167+D168+D169+D170+D171</f>
        <v>1018739</v>
      </c>
      <c r="E166" s="20">
        <f>E167+E168+E169+E170+E171</f>
        <v>125762.59</v>
      </c>
      <c r="F166" s="20">
        <f>F167+F168+F169+F170+F171</f>
        <v>0</v>
      </c>
      <c r="G166" s="20">
        <f>G167+G168+G169+G170+G171</f>
        <v>0</v>
      </c>
      <c r="H166" s="20">
        <f>H167+H168+H169+H170+H171</f>
        <v>125762.59</v>
      </c>
      <c r="I166" s="43">
        <v>96</v>
      </c>
      <c r="J166" s="72" t="s">
        <v>36</v>
      </c>
      <c r="K166" s="14"/>
    </row>
    <row r="167" spans="2:11" ht="18" hidden="1">
      <c r="B167" s="21" t="s">
        <v>18</v>
      </c>
      <c r="C167" s="40" t="s">
        <v>44</v>
      </c>
      <c r="D167" s="37">
        <v>611104</v>
      </c>
      <c r="E167" s="37">
        <v>111980.62</v>
      </c>
      <c r="F167" s="37"/>
      <c r="G167" s="37"/>
      <c r="H167" s="2">
        <f t="shared" si="4"/>
        <v>111980.62</v>
      </c>
      <c r="I167" s="54">
        <f t="shared" si="6"/>
        <v>18.324314682934492</v>
      </c>
      <c r="J167" s="24"/>
      <c r="K167" s="15"/>
    </row>
    <row r="168" spans="2:11" ht="18" hidden="1">
      <c r="B168" s="21" t="s">
        <v>19</v>
      </c>
      <c r="C168" s="40" t="s">
        <v>45</v>
      </c>
      <c r="D168" s="37">
        <v>68519</v>
      </c>
      <c r="E168" s="37">
        <v>7252.09</v>
      </c>
      <c r="F168" s="37"/>
      <c r="G168" s="37"/>
      <c r="H168" s="2">
        <f t="shared" si="4"/>
        <v>7252.09</v>
      </c>
      <c r="I168" s="54">
        <f t="shared" si="6"/>
        <v>10.58405697689692</v>
      </c>
      <c r="J168" s="24"/>
      <c r="K168" s="14"/>
    </row>
    <row r="169" spans="2:11" ht="18" hidden="1">
      <c r="B169" s="21"/>
      <c r="C169" s="40" t="s">
        <v>46</v>
      </c>
      <c r="D169" s="37">
        <v>25399</v>
      </c>
      <c r="E169" s="37">
        <v>6529.88</v>
      </c>
      <c r="F169" s="37"/>
      <c r="G169" s="37"/>
      <c r="H169" s="2">
        <f t="shared" si="4"/>
        <v>6529.88</v>
      </c>
      <c r="I169" s="54">
        <f t="shared" si="6"/>
        <v>25.709201149651562</v>
      </c>
      <c r="J169" s="24"/>
      <c r="K169" s="14"/>
    </row>
    <row r="170" spans="2:11" ht="18" hidden="1">
      <c r="B170" s="21" t="s">
        <v>21</v>
      </c>
      <c r="C170" s="40" t="s">
        <v>47</v>
      </c>
      <c r="D170" s="37">
        <v>2000</v>
      </c>
      <c r="E170" s="37"/>
      <c r="F170" s="37"/>
      <c r="G170" s="37"/>
      <c r="H170" s="2">
        <f t="shared" si="4"/>
        <v>0</v>
      </c>
      <c r="I170" s="54">
        <v>0</v>
      </c>
      <c r="J170" s="24"/>
      <c r="K170" s="14"/>
    </row>
    <row r="171" spans="2:11" ht="18" hidden="1">
      <c r="B171" s="21" t="s">
        <v>22</v>
      </c>
      <c r="C171" s="40" t="s">
        <v>48</v>
      </c>
      <c r="D171" s="37">
        <v>311717</v>
      </c>
      <c r="E171" s="37"/>
      <c r="F171" s="37"/>
      <c r="G171" s="37"/>
      <c r="H171" s="2">
        <f t="shared" si="4"/>
        <v>0</v>
      </c>
      <c r="I171" s="54">
        <f>H171/D171*100</f>
        <v>0</v>
      </c>
      <c r="J171" s="24"/>
      <c r="K171" s="14"/>
    </row>
    <row r="172" spans="2:11" s="8" customFormat="1" ht="18">
      <c r="B172" s="19">
        <v>28</v>
      </c>
      <c r="C172" s="78" t="s">
        <v>130</v>
      </c>
      <c r="D172" s="20">
        <f>D173+D174+D175+D176+D177</f>
        <v>1643373</v>
      </c>
      <c r="E172" s="20">
        <f>E173+E174+E175+E176+E177</f>
        <v>211363.94</v>
      </c>
      <c r="F172" s="20">
        <f>F173+F174+F175+F176+F177</f>
        <v>0</v>
      </c>
      <c r="G172" s="20">
        <f>G173+G174+G175+G176+G177</f>
        <v>0</v>
      </c>
      <c r="H172" s="20">
        <f>H173+H174+H175+H176+H177</f>
        <v>211363.94</v>
      </c>
      <c r="I172" s="43">
        <v>97</v>
      </c>
      <c r="J172" s="72" t="s">
        <v>23</v>
      </c>
      <c r="K172" s="14"/>
    </row>
    <row r="173" spans="2:11" ht="18" hidden="1">
      <c r="B173" s="21" t="s">
        <v>18</v>
      </c>
      <c r="C173" s="40" t="s">
        <v>44</v>
      </c>
      <c r="D173" s="37">
        <v>923314</v>
      </c>
      <c r="E173" s="37">
        <v>199788.35</v>
      </c>
      <c r="F173" s="37"/>
      <c r="G173" s="37"/>
      <c r="H173" s="2">
        <f t="shared" si="4"/>
        <v>199788.35</v>
      </c>
      <c r="I173" s="54">
        <f>H173/D173*100</f>
        <v>21.63818051063885</v>
      </c>
      <c r="J173" s="24"/>
      <c r="K173" s="15"/>
    </row>
    <row r="174" spans="2:11" ht="18" hidden="1">
      <c r="B174" s="21" t="s">
        <v>19</v>
      </c>
      <c r="C174" s="40" t="s">
        <v>45</v>
      </c>
      <c r="D174" s="37">
        <v>125661</v>
      </c>
      <c r="E174" s="37">
        <v>9712.99</v>
      </c>
      <c r="F174" s="37"/>
      <c r="G174" s="37"/>
      <c r="H174" s="2">
        <f t="shared" si="4"/>
        <v>9712.99</v>
      </c>
      <c r="I174" s="54">
        <f>H174/D174*100</f>
        <v>7.729518307191571</v>
      </c>
      <c r="J174" s="24"/>
      <c r="K174" s="14"/>
    </row>
    <row r="175" spans="2:11" ht="18" hidden="1">
      <c r="B175" s="21" t="s">
        <v>20</v>
      </c>
      <c r="C175" s="40" t="s">
        <v>46</v>
      </c>
      <c r="D175" s="37">
        <f>15751+500+7853+8016</f>
        <v>32120</v>
      </c>
      <c r="E175" s="37">
        <v>1862.6</v>
      </c>
      <c r="F175" s="37"/>
      <c r="G175" s="37"/>
      <c r="H175" s="2">
        <f t="shared" si="4"/>
        <v>1862.6</v>
      </c>
      <c r="I175" s="54">
        <f>H175/D175*100</f>
        <v>5.7988792029887914</v>
      </c>
      <c r="J175" s="24"/>
      <c r="K175" s="14"/>
    </row>
    <row r="176" spans="2:11" ht="18" hidden="1">
      <c r="B176" s="21" t="s">
        <v>21</v>
      </c>
      <c r="C176" s="40" t="s">
        <v>47</v>
      </c>
      <c r="D176" s="37">
        <v>0</v>
      </c>
      <c r="E176" s="37"/>
      <c r="F176" s="37"/>
      <c r="G176" s="37"/>
      <c r="H176" s="2">
        <f t="shared" si="4"/>
        <v>0</v>
      </c>
      <c r="I176" s="54">
        <v>0</v>
      </c>
      <c r="J176" s="24"/>
      <c r="K176" s="14"/>
    </row>
    <row r="177" spans="2:11" ht="18" hidden="1">
      <c r="B177" s="21" t="s">
        <v>22</v>
      </c>
      <c r="C177" s="40" t="s">
        <v>48</v>
      </c>
      <c r="D177" s="37">
        <v>562278</v>
      </c>
      <c r="E177" s="37"/>
      <c r="F177" s="37"/>
      <c r="G177" s="37"/>
      <c r="H177" s="2">
        <f t="shared" si="4"/>
        <v>0</v>
      </c>
      <c r="I177" s="54">
        <f aca="true" t="shared" si="7" ref="I177:I199">H177/D177*100</f>
        <v>0</v>
      </c>
      <c r="J177" s="24"/>
      <c r="K177" s="14"/>
    </row>
    <row r="178" spans="2:11" s="8" customFormat="1" ht="18">
      <c r="B178" s="19">
        <v>29</v>
      </c>
      <c r="C178" s="78" t="s">
        <v>84</v>
      </c>
      <c r="D178" s="20">
        <f>D179+D180+D181+D182+D183</f>
        <v>13025504</v>
      </c>
      <c r="E178" s="20">
        <f>E179+E180+E181+E182+E183</f>
        <v>2013063.38</v>
      </c>
      <c r="F178" s="20">
        <f>F179+F180+F181+F182+F183</f>
        <v>111030.43</v>
      </c>
      <c r="G178" s="20">
        <f>G179+G180+G181+G182+G183</f>
        <v>0</v>
      </c>
      <c r="H178" s="20">
        <f>H179+H180+H181+H182+H183</f>
        <v>2124093.81</v>
      </c>
      <c r="I178" s="43">
        <v>93</v>
      </c>
      <c r="J178" s="72" t="s">
        <v>16</v>
      </c>
      <c r="K178" s="14"/>
    </row>
    <row r="179" spans="2:11" ht="18" hidden="1">
      <c r="B179" s="21" t="s">
        <v>18</v>
      </c>
      <c r="C179" s="40" t="s">
        <v>44</v>
      </c>
      <c r="D179" s="37">
        <v>6985410</v>
      </c>
      <c r="E179" s="37">
        <v>1746723.68</v>
      </c>
      <c r="F179" s="37">
        <v>9729.82</v>
      </c>
      <c r="G179" s="37"/>
      <c r="H179" s="2">
        <f t="shared" si="4"/>
        <v>1756453.5</v>
      </c>
      <c r="I179" s="54">
        <f t="shared" si="7"/>
        <v>25.14460139061272</v>
      </c>
      <c r="J179" s="24"/>
      <c r="K179" s="15"/>
    </row>
    <row r="180" spans="2:11" ht="18" hidden="1">
      <c r="B180" s="21" t="s">
        <v>19</v>
      </c>
      <c r="C180" s="40" t="s">
        <v>45</v>
      </c>
      <c r="D180" s="37">
        <v>1323505</v>
      </c>
      <c r="E180" s="37">
        <v>191157.44</v>
      </c>
      <c r="F180" s="37">
        <v>5279</v>
      </c>
      <c r="G180" s="37"/>
      <c r="H180" s="2">
        <f t="shared" si="4"/>
        <v>196436.44</v>
      </c>
      <c r="I180" s="54">
        <f t="shared" si="7"/>
        <v>14.842138110547372</v>
      </c>
      <c r="J180" s="24"/>
      <c r="K180" s="14"/>
    </row>
    <row r="181" spans="2:11" ht="18" hidden="1">
      <c r="B181" s="21" t="s">
        <v>20</v>
      </c>
      <c r="C181" s="40" t="s">
        <v>46</v>
      </c>
      <c r="D181" s="37">
        <v>417306</v>
      </c>
      <c r="E181" s="37">
        <v>75182.26</v>
      </c>
      <c r="F181" s="37"/>
      <c r="G181" s="37"/>
      <c r="H181" s="2">
        <f t="shared" si="4"/>
        <v>75182.26</v>
      </c>
      <c r="I181" s="54">
        <f t="shared" si="7"/>
        <v>18.016098498463958</v>
      </c>
      <c r="J181" s="24"/>
      <c r="K181" s="14"/>
    </row>
    <row r="182" spans="2:11" ht="18" hidden="1">
      <c r="B182" s="21" t="s">
        <v>21</v>
      </c>
      <c r="C182" s="40" t="s">
        <v>47</v>
      </c>
      <c r="D182" s="37">
        <v>382703</v>
      </c>
      <c r="E182" s="37"/>
      <c r="F182" s="37">
        <v>96021.61</v>
      </c>
      <c r="G182" s="37"/>
      <c r="H182" s="2">
        <f t="shared" si="4"/>
        <v>96021.61</v>
      </c>
      <c r="I182" s="54">
        <f t="shared" si="7"/>
        <v>25.090372952393892</v>
      </c>
      <c r="J182" s="24"/>
      <c r="K182" s="14"/>
    </row>
    <row r="183" spans="2:11" ht="18" hidden="1">
      <c r="B183" s="21" t="s">
        <v>22</v>
      </c>
      <c r="C183" s="40" t="s">
        <v>48</v>
      </c>
      <c r="D183" s="37">
        <v>3916580</v>
      </c>
      <c r="E183" s="37"/>
      <c r="F183" s="37"/>
      <c r="G183" s="37"/>
      <c r="H183" s="2">
        <f t="shared" si="4"/>
        <v>0</v>
      </c>
      <c r="I183" s="54">
        <f t="shared" si="7"/>
        <v>0</v>
      </c>
      <c r="J183" s="24"/>
      <c r="K183" s="14"/>
    </row>
    <row r="184" spans="2:11" s="8" customFormat="1" ht="18">
      <c r="B184" s="19">
        <v>30</v>
      </c>
      <c r="C184" s="78" t="s">
        <v>131</v>
      </c>
      <c r="D184" s="20">
        <f>D185+D186+D187+D188+D189</f>
        <v>6058608</v>
      </c>
      <c r="E184" s="20">
        <f>E185+E186+E187+E188+E189</f>
        <v>985116.3300000001</v>
      </c>
      <c r="F184" s="20">
        <f>F185+F186+F187+F188+F189</f>
        <v>5314.58</v>
      </c>
      <c r="G184" s="20">
        <f>G185+G186+G187+G188+G189</f>
        <v>400</v>
      </c>
      <c r="H184" s="20">
        <f>H185+H186+H187+H188+H189</f>
        <v>990830.91</v>
      </c>
      <c r="I184" s="43">
        <v>99</v>
      </c>
      <c r="J184" s="75" t="s">
        <v>17</v>
      </c>
      <c r="K184" s="14"/>
    </row>
    <row r="185" spans="2:11" ht="18" hidden="1">
      <c r="B185" s="21">
        <v>0</v>
      </c>
      <c r="C185" s="40" t="s">
        <v>44</v>
      </c>
      <c r="D185" s="37">
        <v>3766528</v>
      </c>
      <c r="E185" s="37">
        <v>918622.66</v>
      </c>
      <c r="F185" s="37"/>
      <c r="G185" s="46"/>
      <c r="H185" s="2">
        <f t="shared" si="4"/>
        <v>918622.66</v>
      </c>
      <c r="I185" s="54">
        <f t="shared" si="7"/>
        <v>24.389110076972745</v>
      </c>
      <c r="J185" s="24"/>
      <c r="K185" s="15"/>
    </row>
    <row r="186" spans="2:11" ht="18" hidden="1">
      <c r="B186" s="21" t="s">
        <v>19</v>
      </c>
      <c r="C186" s="40" t="s">
        <v>45</v>
      </c>
      <c r="D186" s="37">
        <v>799754</v>
      </c>
      <c r="E186" s="37">
        <v>34183.75</v>
      </c>
      <c r="F186" s="37">
        <v>4114.58</v>
      </c>
      <c r="G186" s="46">
        <v>400</v>
      </c>
      <c r="H186" s="2">
        <f t="shared" si="4"/>
        <v>38698.33</v>
      </c>
      <c r="I186" s="54">
        <f t="shared" si="7"/>
        <v>4.838779174596189</v>
      </c>
      <c r="J186" s="24"/>
      <c r="K186" s="14"/>
    </row>
    <row r="187" spans="2:11" ht="18" hidden="1">
      <c r="B187" s="21" t="s">
        <v>20</v>
      </c>
      <c r="C187" s="40" t="s">
        <v>46</v>
      </c>
      <c r="D187" s="37">
        <v>245955</v>
      </c>
      <c r="E187" s="37">
        <v>32309.92</v>
      </c>
      <c r="F187" s="37"/>
      <c r="G187" s="46"/>
      <c r="H187" s="2">
        <f t="shared" si="4"/>
        <v>32309.92</v>
      </c>
      <c r="I187" s="54">
        <f t="shared" si="7"/>
        <v>13.136516842511842</v>
      </c>
      <c r="J187" s="24"/>
      <c r="K187" s="15"/>
    </row>
    <row r="188" spans="2:11" ht="18" hidden="1">
      <c r="B188" s="21" t="s">
        <v>21</v>
      </c>
      <c r="C188" s="40" t="s">
        <v>47</v>
      </c>
      <c r="D188" s="37">
        <v>62000</v>
      </c>
      <c r="E188" s="37"/>
      <c r="F188" s="37">
        <v>1200</v>
      </c>
      <c r="G188" s="46"/>
      <c r="H188" s="2">
        <f t="shared" si="4"/>
        <v>1200</v>
      </c>
      <c r="I188" s="54">
        <f t="shared" si="7"/>
        <v>1.935483870967742</v>
      </c>
      <c r="J188" s="24"/>
      <c r="K188" s="14"/>
    </row>
    <row r="189" spans="2:11" ht="18" hidden="1">
      <c r="B189" s="21" t="s">
        <v>22</v>
      </c>
      <c r="C189" s="40" t="s">
        <v>48</v>
      </c>
      <c r="D189" s="37">
        <v>1184371</v>
      </c>
      <c r="E189" s="37"/>
      <c r="F189" s="37"/>
      <c r="G189" s="46"/>
      <c r="H189" s="2">
        <f t="shared" si="4"/>
        <v>0</v>
      </c>
      <c r="I189" s="54">
        <f t="shared" si="7"/>
        <v>0</v>
      </c>
      <c r="J189" s="24"/>
      <c r="K189" s="14"/>
    </row>
    <row r="190" spans="2:11" s="8" customFormat="1" ht="18">
      <c r="B190" s="19">
        <v>31</v>
      </c>
      <c r="C190" s="78" t="s">
        <v>82</v>
      </c>
      <c r="D190" s="20">
        <f>D191+D192+D193+D194+D195</f>
        <v>874276</v>
      </c>
      <c r="E190" s="20">
        <f>E191+E192+E193+E194+E195</f>
        <v>115125.65000000001</v>
      </c>
      <c r="F190" s="20">
        <f>F191+F192+F193+F194+F195</f>
        <v>1400</v>
      </c>
      <c r="G190" s="20">
        <f>G191+G192+G193+G194+G195</f>
        <v>3000</v>
      </c>
      <c r="H190" s="20">
        <f>H191+H192+H193+H194+H195</f>
        <v>119525.65000000001</v>
      </c>
      <c r="I190" s="43">
        <v>97</v>
      </c>
      <c r="J190" s="72" t="s">
        <v>38</v>
      </c>
      <c r="K190" s="15"/>
    </row>
    <row r="191" spans="2:11" ht="18" hidden="1">
      <c r="B191" s="21" t="s">
        <v>18</v>
      </c>
      <c r="C191" s="40" t="s">
        <v>44</v>
      </c>
      <c r="D191" s="37">
        <v>522880</v>
      </c>
      <c r="E191" s="37">
        <v>103545.52</v>
      </c>
      <c r="F191" s="37"/>
      <c r="G191" s="46">
        <v>3000</v>
      </c>
      <c r="H191" s="2">
        <f t="shared" si="4"/>
        <v>106545.52</v>
      </c>
      <c r="I191" s="54">
        <f t="shared" si="7"/>
        <v>20.376667686658507</v>
      </c>
      <c r="J191" s="24"/>
      <c r="K191" s="15"/>
    </row>
    <row r="192" spans="2:11" ht="18" hidden="1">
      <c r="B192" s="21" t="s">
        <v>19</v>
      </c>
      <c r="C192" s="40" t="s">
        <v>45</v>
      </c>
      <c r="D192" s="37">
        <v>145621</v>
      </c>
      <c r="E192" s="37">
        <v>5643.55</v>
      </c>
      <c r="F192" s="37"/>
      <c r="G192" s="46"/>
      <c r="H192" s="2">
        <f t="shared" si="4"/>
        <v>5643.55</v>
      </c>
      <c r="I192" s="54">
        <f t="shared" si="7"/>
        <v>3.875505593286683</v>
      </c>
      <c r="J192" s="24"/>
      <c r="K192" s="14"/>
    </row>
    <row r="193" spans="2:11" ht="18" hidden="1">
      <c r="B193" s="21" t="s">
        <v>20</v>
      </c>
      <c r="C193" s="40" t="s">
        <v>46</v>
      </c>
      <c r="D193" s="37">
        <v>30300</v>
      </c>
      <c r="E193" s="37">
        <v>5936.58</v>
      </c>
      <c r="F193" s="37"/>
      <c r="G193" s="46"/>
      <c r="H193" s="2">
        <f t="shared" si="4"/>
        <v>5936.58</v>
      </c>
      <c r="I193" s="54">
        <f t="shared" si="7"/>
        <v>19.59267326732673</v>
      </c>
      <c r="J193" s="24"/>
      <c r="K193" s="14"/>
    </row>
    <row r="194" spans="2:11" ht="18" hidden="1">
      <c r="B194" s="21" t="s">
        <v>21</v>
      </c>
      <c r="C194" s="40" t="s">
        <v>47</v>
      </c>
      <c r="D194" s="37">
        <f>4000</f>
        <v>4000</v>
      </c>
      <c r="E194" s="37"/>
      <c r="F194" s="37">
        <v>1400</v>
      </c>
      <c r="G194" s="46"/>
      <c r="H194" s="2">
        <f t="shared" si="4"/>
        <v>1400</v>
      </c>
      <c r="I194" s="54">
        <f t="shared" si="7"/>
        <v>35</v>
      </c>
      <c r="J194" s="24"/>
      <c r="K194" s="14"/>
    </row>
    <row r="195" spans="2:11" ht="18" hidden="1">
      <c r="B195" s="21" t="s">
        <v>22</v>
      </c>
      <c r="C195" s="40" t="s">
        <v>48</v>
      </c>
      <c r="D195" s="37">
        <v>171475</v>
      </c>
      <c r="E195" s="37"/>
      <c r="F195" s="37"/>
      <c r="G195" s="46"/>
      <c r="H195" s="2">
        <f t="shared" si="4"/>
        <v>0</v>
      </c>
      <c r="I195" s="54">
        <f t="shared" si="7"/>
        <v>0</v>
      </c>
      <c r="J195" s="24"/>
      <c r="K195" s="14"/>
    </row>
    <row r="196" spans="2:28" s="8" customFormat="1" ht="18">
      <c r="B196" s="19">
        <v>32</v>
      </c>
      <c r="C196" s="78" t="s">
        <v>81</v>
      </c>
      <c r="D196" s="20">
        <f>D197+D198+D199+D200+D201</f>
        <v>723311</v>
      </c>
      <c r="E196" s="20">
        <f>E197+E198+E199+E200+E201</f>
        <v>102877.56999999999</v>
      </c>
      <c r="F196" s="20">
        <f>F197+F198+F199+F200+F201</f>
        <v>0</v>
      </c>
      <c r="G196" s="20">
        <f>G197+G198+G199+G200+G201</f>
        <v>0</v>
      </c>
      <c r="H196" s="20">
        <f>H197+H198+H199+H200+H201</f>
        <v>102877.56999999999</v>
      </c>
      <c r="I196" s="43">
        <v>88</v>
      </c>
      <c r="J196" s="72" t="s">
        <v>39</v>
      </c>
      <c r="K196" s="17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2:11" ht="18" hidden="1">
      <c r="B197" s="21" t="s">
        <v>18</v>
      </c>
      <c r="C197" s="40" t="s">
        <v>44</v>
      </c>
      <c r="D197" s="37">
        <v>404429</v>
      </c>
      <c r="E197" s="23">
        <v>82272.04</v>
      </c>
      <c r="F197" s="23"/>
      <c r="G197" s="31"/>
      <c r="H197" s="2">
        <f t="shared" si="4"/>
        <v>82272.04</v>
      </c>
      <c r="I197" s="54">
        <f t="shared" si="7"/>
        <v>20.342764737444643</v>
      </c>
      <c r="J197" s="24"/>
      <c r="K197" s="15"/>
    </row>
    <row r="198" spans="2:11" ht="18" hidden="1">
      <c r="B198" s="21" t="s">
        <v>19</v>
      </c>
      <c r="C198" s="40" t="s">
        <v>45</v>
      </c>
      <c r="D198" s="37">
        <v>106307</v>
      </c>
      <c r="E198" s="23">
        <v>18947.87</v>
      </c>
      <c r="F198" s="23"/>
      <c r="G198" s="31"/>
      <c r="H198" s="2">
        <f t="shared" si="4"/>
        <v>18947.87</v>
      </c>
      <c r="I198" s="54">
        <f t="shared" si="7"/>
        <v>17.823727506184916</v>
      </c>
      <c r="J198" s="24"/>
      <c r="K198" s="14"/>
    </row>
    <row r="199" spans="2:11" ht="18" hidden="1">
      <c r="B199" s="21" t="s">
        <v>20</v>
      </c>
      <c r="C199" s="40" t="s">
        <v>46</v>
      </c>
      <c r="D199" s="37">
        <v>26200</v>
      </c>
      <c r="E199" s="23">
        <v>1657.66</v>
      </c>
      <c r="F199" s="23"/>
      <c r="G199" s="31"/>
      <c r="H199" s="2">
        <f t="shared" si="4"/>
        <v>1657.66</v>
      </c>
      <c r="I199" s="54">
        <f t="shared" si="7"/>
        <v>6.326946564885497</v>
      </c>
      <c r="J199" s="24"/>
      <c r="K199" s="14"/>
    </row>
    <row r="200" spans="2:11" ht="18" hidden="1">
      <c r="B200" s="21" t="s">
        <v>21</v>
      </c>
      <c r="C200" s="40" t="s">
        <v>47</v>
      </c>
      <c r="D200" s="37">
        <f>0</f>
        <v>0</v>
      </c>
      <c r="E200" s="23"/>
      <c r="F200" s="23"/>
      <c r="G200" s="31"/>
      <c r="H200" s="2">
        <f t="shared" si="4"/>
        <v>0</v>
      </c>
      <c r="I200" s="54">
        <v>0</v>
      </c>
      <c r="J200" s="24"/>
      <c r="K200" s="14"/>
    </row>
    <row r="201" spans="2:11" ht="18" hidden="1">
      <c r="B201" s="21" t="s">
        <v>22</v>
      </c>
      <c r="C201" s="40" t="s">
        <v>48</v>
      </c>
      <c r="D201" s="37">
        <v>186375</v>
      </c>
      <c r="E201" s="23"/>
      <c r="F201" s="23"/>
      <c r="G201" s="31"/>
      <c r="H201" s="2">
        <f t="shared" si="4"/>
        <v>0</v>
      </c>
      <c r="I201" s="54">
        <f>H201/D201*100</f>
        <v>0</v>
      </c>
      <c r="J201" s="24"/>
      <c r="K201" s="14"/>
    </row>
    <row r="202" spans="2:11" s="8" customFormat="1" ht="18">
      <c r="B202" s="19">
        <v>33</v>
      </c>
      <c r="C202" s="78" t="s">
        <v>80</v>
      </c>
      <c r="D202" s="20">
        <f>D203+D204+D205+D206+D207</f>
        <v>1153143</v>
      </c>
      <c r="E202" s="25">
        <f>E203+E204+E205+E206+E207</f>
        <v>168447.94</v>
      </c>
      <c r="F202" s="25">
        <f>F203+F204+F205+F206+F207</f>
        <v>0</v>
      </c>
      <c r="G202" s="25">
        <f>G203+G204+G205+G206+G207</f>
        <v>0</v>
      </c>
      <c r="H202" s="25">
        <f>H203+H204+H205+H206+H207</f>
        <v>168447.94</v>
      </c>
      <c r="I202" s="43">
        <v>97</v>
      </c>
      <c r="J202" s="72" t="s">
        <v>40</v>
      </c>
      <c r="K202" s="14"/>
    </row>
    <row r="203" spans="2:11" ht="18" hidden="1">
      <c r="B203" s="21" t="s">
        <v>18</v>
      </c>
      <c r="C203" s="40" t="s">
        <v>44</v>
      </c>
      <c r="D203" s="37">
        <v>672515</v>
      </c>
      <c r="E203" s="37">
        <v>143449.32</v>
      </c>
      <c r="F203" s="37"/>
      <c r="G203" s="46"/>
      <c r="H203" s="2">
        <f aca="true" t="shared" si="8" ref="H203:H208">E203+F203+G203</f>
        <v>143449.32</v>
      </c>
      <c r="I203" s="54">
        <f aca="true" t="shared" si="9" ref="I203:I215">H203/D203*100</f>
        <v>21.330278135060183</v>
      </c>
      <c r="J203" s="24"/>
      <c r="K203" s="14"/>
    </row>
    <row r="204" spans="2:12" ht="18" hidden="1">
      <c r="B204" s="21" t="s">
        <v>19</v>
      </c>
      <c r="C204" s="40" t="s">
        <v>45</v>
      </c>
      <c r="D204" s="37">
        <v>139090</v>
      </c>
      <c r="E204" s="37">
        <v>12773.79</v>
      </c>
      <c r="F204" s="37"/>
      <c r="G204" s="46"/>
      <c r="H204" s="2">
        <f t="shared" si="8"/>
        <v>12773.79</v>
      </c>
      <c r="I204" s="54">
        <f t="shared" si="9"/>
        <v>9.183830613271983</v>
      </c>
      <c r="J204" s="24"/>
      <c r="K204" s="15"/>
      <c r="L204" s="5"/>
    </row>
    <row r="205" spans="2:11" ht="18" hidden="1">
      <c r="B205" s="21" t="s">
        <v>20</v>
      </c>
      <c r="C205" s="40" t="s">
        <v>46</v>
      </c>
      <c r="D205" s="37">
        <v>28000</v>
      </c>
      <c r="E205" s="37">
        <v>5624.83</v>
      </c>
      <c r="F205" s="37"/>
      <c r="G205" s="46"/>
      <c r="H205" s="2">
        <f t="shared" si="8"/>
        <v>5624.83</v>
      </c>
      <c r="I205" s="54">
        <f t="shared" si="9"/>
        <v>20.08867857142857</v>
      </c>
      <c r="J205" s="24"/>
      <c r="K205" s="14" t="s">
        <v>43</v>
      </c>
    </row>
    <row r="206" spans="2:11" ht="18" hidden="1">
      <c r="B206" s="21" t="s">
        <v>21</v>
      </c>
      <c r="C206" s="40" t="s">
        <v>47</v>
      </c>
      <c r="D206" s="37">
        <f>8000</f>
        <v>8000</v>
      </c>
      <c r="E206" s="45">
        <v>6600</v>
      </c>
      <c r="F206" s="37"/>
      <c r="G206" s="46"/>
      <c r="H206" s="2">
        <f t="shared" si="8"/>
        <v>6600</v>
      </c>
      <c r="I206" s="54">
        <f t="shared" si="9"/>
        <v>82.5</v>
      </c>
      <c r="J206" s="24"/>
      <c r="K206" s="14"/>
    </row>
    <row r="207" spans="2:11" ht="18" hidden="1">
      <c r="B207" s="21" t="s">
        <v>22</v>
      </c>
      <c r="C207" s="40" t="s">
        <v>48</v>
      </c>
      <c r="D207" s="37">
        <v>305538</v>
      </c>
      <c r="E207" s="37"/>
      <c r="F207" s="37"/>
      <c r="G207" s="46"/>
      <c r="H207" s="2">
        <f t="shared" si="8"/>
        <v>0</v>
      </c>
      <c r="I207" s="54">
        <f t="shared" si="9"/>
        <v>0</v>
      </c>
      <c r="J207" s="24"/>
      <c r="K207" s="14"/>
    </row>
    <row r="208" spans="2:11" ht="18" hidden="1">
      <c r="B208" s="32"/>
      <c r="C208" s="41"/>
      <c r="D208" s="2"/>
      <c r="E208" s="6"/>
      <c r="F208" s="2"/>
      <c r="G208" s="2"/>
      <c r="H208" s="2">
        <f t="shared" si="8"/>
        <v>0</v>
      </c>
      <c r="I208" s="54">
        <v>0</v>
      </c>
      <c r="J208" s="27"/>
      <c r="K208" s="14"/>
    </row>
    <row r="209" spans="2:13" s="10" customFormat="1" ht="18" hidden="1">
      <c r="B209" s="33"/>
      <c r="C209" s="34" t="s">
        <v>37</v>
      </c>
      <c r="D209" s="20">
        <f>D210+D211+D212+D213+D214</f>
        <v>243400001</v>
      </c>
      <c r="E209" s="20">
        <f>E210+E211+E212+E213+E214</f>
        <v>37247682.22000001</v>
      </c>
      <c r="F209" s="20">
        <f>F210+F211+F212+F213+F214</f>
        <v>1239046.52</v>
      </c>
      <c r="G209" s="20">
        <f>G210+G211+G212+G213+G214</f>
        <v>1080876.52</v>
      </c>
      <c r="H209" s="20">
        <f>H210+H211+H212+H213+H214</f>
        <v>39567605.26000001</v>
      </c>
      <c r="I209" s="43">
        <f t="shared" si="9"/>
        <v>16.256205874050103</v>
      </c>
      <c r="J209" s="27"/>
      <c r="K209" s="15"/>
      <c r="L209" s="9"/>
      <c r="M209" s="9"/>
    </row>
    <row r="210" spans="2:12" ht="18" hidden="1">
      <c r="B210" s="26" t="s">
        <v>18</v>
      </c>
      <c r="C210" s="40" t="s">
        <v>44</v>
      </c>
      <c r="D210" s="37">
        <f aca="true" t="shared" si="10" ref="D210:F214">D11+D17+D23+D29+D35+D41+D47+D53+D59+D65+D71+D77+D83+D89+D95+D101+D107+D113+D119+D125+D131+D137+D143+D149+D155+D161+D167+D173+D179+D185+D191+D197+D203</f>
        <v>126080232</v>
      </c>
      <c r="E210" s="3">
        <f t="shared" si="10"/>
        <v>31121380.83000001</v>
      </c>
      <c r="F210" s="3">
        <f t="shared" si="10"/>
        <v>80640.28</v>
      </c>
      <c r="G210" s="3">
        <f>G11+G17+G23+G29+G35+G41+G47+G53+G59+G65+G71+G77+G83+G89+G95+G101+G107+G113+G119+G125+G131+G137+G143+G149+G155+G161+G167+G179+G185+G191+G197+G203</f>
        <v>3000</v>
      </c>
      <c r="H210" s="2">
        <f>E210+F210+G210</f>
        <v>31205021.11000001</v>
      </c>
      <c r="I210" s="54">
        <f t="shared" si="9"/>
        <v>24.750129830027607</v>
      </c>
      <c r="J210" s="27"/>
      <c r="K210" s="15"/>
      <c r="L210" s="5"/>
    </row>
    <row r="211" spans="2:11" ht="18" hidden="1">
      <c r="B211" s="26" t="s">
        <v>19</v>
      </c>
      <c r="C211" s="40" t="s">
        <v>45</v>
      </c>
      <c r="D211" s="37">
        <f t="shared" si="10"/>
        <v>24336593</v>
      </c>
      <c r="E211" s="37">
        <f t="shared" si="10"/>
        <v>3120867.11</v>
      </c>
      <c r="F211" s="37">
        <f t="shared" si="10"/>
        <v>273866.85</v>
      </c>
      <c r="G211" s="37">
        <f>G12+G18+G24+G30+G36+G42+G48+G54+G60+G66+G72+G78+G84+G90+G96+G102+G108+G114+G120+G126+G132+G138+G144+G150+G156+G162+G168+G174+G180+G186+G192+G198+G204</f>
        <v>273250.98</v>
      </c>
      <c r="H211" s="2">
        <f>E211+F211+G211</f>
        <v>3667984.94</v>
      </c>
      <c r="I211" s="54">
        <f t="shared" si="9"/>
        <v>15.071891698234014</v>
      </c>
      <c r="J211" s="27"/>
      <c r="K211" s="15"/>
    </row>
    <row r="212" spans="2:12" ht="18" hidden="1">
      <c r="B212" s="26" t="s">
        <v>20</v>
      </c>
      <c r="C212" s="40" t="s">
        <v>46</v>
      </c>
      <c r="D212" s="37">
        <f t="shared" si="10"/>
        <v>8621360</v>
      </c>
      <c r="E212" s="37">
        <f t="shared" si="10"/>
        <v>1639056.6500000001</v>
      </c>
      <c r="F212" s="37">
        <f t="shared" si="10"/>
        <v>1842.07</v>
      </c>
      <c r="G212" s="37">
        <f>G13+G19+G25+G31+G37+G43+G49+G55+G61+G67+G73+G79+G85+G91+G97+G103+G109+G115+G121+G127+G133+G139+G145+G151+G157+G163+G169+G175+G181+G187+G193+G199+G205</f>
        <v>1714.2199999999998</v>
      </c>
      <c r="H212" s="2">
        <f>E212+F212+G212</f>
        <v>1642612.9400000002</v>
      </c>
      <c r="I212" s="54">
        <f t="shared" si="9"/>
        <v>19.052828556051484</v>
      </c>
      <c r="J212" s="27"/>
      <c r="K212" s="15"/>
      <c r="L212" s="5"/>
    </row>
    <row r="213" spans="2:11" ht="18" hidden="1">
      <c r="B213" s="26" t="s">
        <v>21</v>
      </c>
      <c r="C213" s="40" t="s">
        <v>47</v>
      </c>
      <c r="D213" s="37">
        <f t="shared" si="10"/>
        <v>3091985</v>
      </c>
      <c r="E213" s="37">
        <f t="shared" si="10"/>
        <v>30752</v>
      </c>
      <c r="F213" s="37">
        <f t="shared" si="10"/>
        <v>558421.79</v>
      </c>
      <c r="G213" s="37">
        <f>G14+G20+G26+G32+G38+G44+G50+G56+G62+G68+G74+G80+G86+G92+G98+G104+G110+G116+G122+G128+G134+G140+G146+G152+G158+G164+G170+G176+G182+G188+G194+G200+G206</f>
        <v>61549.05</v>
      </c>
      <c r="H213" s="76">
        <f>H14+H20+H26+H32+H38+H44+H50+H56+H62+H68+H74+H80+H86+H92+H98+H104+H110+H116+H122+H128+H134+H140+H146+H152+H158+H164+H170+H176+H182+H188+H194+H200+H206</f>
        <v>650722.84</v>
      </c>
      <c r="I213" s="54">
        <f t="shared" si="9"/>
        <v>21.045472083467416</v>
      </c>
      <c r="J213" s="27"/>
      <c r="K213" s="15"/>
    </row>
    <row r="214" spans="2:11" ht="18.75" hidden="1" thickBot="1">
      <c r="B214" s="35" t="s">
        <v>22</v>
      </c>
      <c r="C214" s="40" t="s">
        <v>48</v>
      </c>
      <c r="D214" s="37">
        <f t="shared" si="10"/>
        <v>81269831</v>
      </c>
      <c r="E214" s="37">
        <f t="shared" si="10"/>
        <v>1335625.63</v>
      </c>
      <c r="F214" s="37">
        <f t="shared" si="10"/>
        <v>324275.53</v>
      </c>
      <c r="G214" s="37">
        <f>G15+G21+G27+G33+G39+G45+G51+G57+G63+G69+G75+G81+G87+G93+G99+G105+G111+G117+G123+G129+G135+G141+G147+G153+G159+G165+G171+G177+G183+G189+G195+G201+G207</f>
        <v>741362.27</v>
      </c>
      <c r="H214" s="76">
        <f>H15+H21+H27+H33+H39+H45+H51+H57+H63+H69+H75+H81+H87+H93+H99+H105+H111+H117+H123+H129+H135+H141+H147+H153+H159+H165+H171+H177+H183+H189+H195+H201+H207</f>
        <v>2401263.43</v>
      </c>
      <c r="I214" s="54">
        <f t="shared" si="9"/>
        <v>2.9546799845074125</v>
      </c>
      <c r="J214" s="36"/>
      <c r="K214" s="15"/>
    </row>
    <row r="215" spans="4:11" ht="18" hidden="1">
      <c r="D215" s="49">
        <f>D216+D217+D218+D219+D220</f>
        <v>243400001</v>
      </c>
      <c r="E215" s="49">
        <f>E216+E217+E218+E219+E220</f>
        <v>37247682.22000001</v>
      </c>
      <c r="F215" s="49">
        <f>F216+F217+F218+F219+F220</f>
        <v>1239046.52</v>
      </c>
      <c r="G215" s="49">
        <f>G216+G217+G218+G219+G220</f>
        <v>1080876.52</v>
      </c>
      <c r="H215" s="49">
        <f>H216+H217+H218+H219+H220</f>
        <v>39567605.26000001</v>
      </c>
      <c r="I215" s="15">
        <f t="shared" si="9"/>
        <v>16.256205874050103</v>
      </c>
      <c r="J215" s="14"/>
      <c r="K215" s="15"/>
    </row>
    <row r="216" spans="3:11" ht="18" hidden="1">
      <c r="C216" s="40" t="s">
        <v>44</v>
      </c>
      <c r="D216" s="49">
        <f>D11+D17+D23+D29+D35+D41+D47+D53+D59+D65+D71+D77+D83+D89+D95+D101+D107+D113+D119+D125+D131+D137+D143+D149+D155+D161+D167+D173+D179+D185+D191++D197+D203</f>
        <v>126080232</v>
      </c>
      <c r="E216" s="49">
        <f>E11+E17+E23+E29+E35+E41+E47+E53+E59+E65+E71+E77+E83+E89+E95+E101+E107+E113+E119+E125+E131+E137+E143+E149+E155+E161+E167+E173+E179+E185+E191++E197+E203</f>
        <v>31121380.83000001</v>
      </c>
      <c r="F216" s="49">
        <f>F11+F17+F23+F29+F35+F41+F47+F53+F59+F65+F71+F77+F83+F89+F95+F101+F107+F113+F119+F125+F131+F137+F143+F149+F155+F161+F167+F173+F179+F185+F191++F197+F203</f>
        <v>80640.28</v>
      </c>
      <c r="G216" s="49">
        <f>G11+G17+G23+G29+G35+G41+G47+G53+G59+G65+G71+G77+G83+G89+G95+G101+G107+G113+G119+G125+G131+G137+G143+G149+G155+G161+G167+G173+G179+G185+G191++G197+G203</f>
        <v>3000</v>
      </c>
      <c r="H216" s="49">
        <f>H11+H17+H23+H29+H35+H41+H47+H53+H59+H65+H71+H77+H83+H89+H95+H101+H107+H113+H119+H125+H131+H137+H143+H149+H155+H161+H167+H173+H179+H185+H191++H197+H203</f>
        <v>31205021.11000001</v>
      </c>
      <c r="I216" s="15"/>
      <c r="J216" s="14"/>
      <c r="K216" s="15"/>
    </row>
    <row r="217" spans="3:11" ht="18" hidden="1">
      <c r="C217" s="40" t="s">
        <v>45</v>
      </c>
      <c r="D217" s="49">
        <f aca="true" t="shared" si="11" ref="D217:H220">D12+D18+D24+D30+D36+D42+D48+D54+D60+D66+D72+D78+D84+D90+D96+D102+D108+D114+D120+D126+D132+D138+D144+D150+D156+D162+D168+D174+D180+D186+D192+D198+D204</f>
        <v>24336593</v>
      </c>
      <c r="E217" s="49">
        <f t="shared" si="11"/>
        <v>3120867.11</v>
      </c>
      <c r="F217" s="49">
        <f t="shared" si="11"/>
        <v>273866.85</v>
      </c>
      <c r="G217" s="49">
        <f t="shared" si="11"/>
        <v>273250.98</v>
      </c>
      <c r="H217" s="49">
        <f t="shared" si="11"/>
        <v>3667984.94</v>
      </c>
      <c r="I217" s="15"/>
      <c r="J217" s="14"/>
      <c r="K217" s="15"/>
    </row>
    <row r="218" spans="3:11" ht="18" hidden="1">
      <c r="C218" s="40" t="s">
        <v>46</v>
      </c>
      <c r="D218" s="49">
        <f t="shared" si="11"/>
        <v>8621360</v>
      </c>
      <c r="E218" s="49">
        <f t="shared" si="11"/>
        <v>1639056.6500000001</v>
      </c>
      <c r="F218" s="49">
        <f t="shared" si="11"/>
        <v>1842.07</v>
      </c>
      <c r="G218" s="49">
        <f t="shared" si="11"/>
        <v>1714.2199999999998</v>
      </c>
      <c r="H218" s="49">
        <f t="shared" si="11"/>
        <v>1642612.9400000002</v>
      </c>
      <c r="I218" s="15"/>
      <c r="J218" s="14"/>
      <c r="K218" s="15"/>
    </row>
    <row r="219" spans="3:11" ht="18" hidden="1">
      <c r="C219" s="40" t="s">
        <v>47</v>
      </c>
      <c r="D219" s="49">
        <f t="shared" si="11"/>
        <v>3091985</v>
      </c>
      <c r="E219" s="49">
        <f t="shared" si="11"/>
        <v>30752</v>
      </c>
      <c r="F219" s="49">
        <f t="shared" si="11"/>
        <v>558421.79</v>
      </c>
      <c r="G219" s="49">
        <f t="shared" si="11"/>
        <v>61549.05</v>
      </c>
      <c r="H219" s="49">
        <f t="shared" si="11"/>
        <v>650722.84</v>
      </c>
      <c r="I219" s="15"/>
      <c r="J219" s="14"/>
      <c r="K219" s="15"/>
    </row>
    <row r="220" spans="3:11" ht="18" hidden="1">
      <c r="C220" s="40" t="s">
        <v>48</v>
      </c>
      <c r="D220" s="49">
        <f t="shared" si="11"/>
        <v>81269831</v>
      </c>
      <c r="E220" s="49">
        <f t="shared" si="11"/>
        <v>1335625.63</v>
      </c>
      <c r="F220" s="49">
        <f t="shared" si="11"/>
        <v>324275.53</v>
      </c>
      <c r="G220" s="49">
        <f t="shared" si="11"/>
        <v>741362.27</v>
      </c>
      <c r="H220" s="49">
        <f t="shared" si="11"/>
        <v>2401263.43</v>
      </c>
      <c r="I220" s="15"/>
      <c r="J220" s="14"/>
      <c r="K220" s="15"/>
    </row>
    <row r="221" spans="4:11" ht="18" hidden="1">
      <c r="D221" s="49"/>
      <c r="E221" s="5"/>
      <c r="F221" s="49"/>
      <c r="G221" s="49"/>
      <c r="H221" s="15"/>
      <c r="I221" s="15"/>
      <c r="J221" s="14"/>
      <c r="K221" s="15"/>
    </row>
    <row r="222" spans="2:11" ht="18">
      <c r="B222" s="81">
        <v>34</v>
      </c>
      <c r="C222" s="81" t="s">
        <v>79</v>
      </c>
      <c r="D222" s="85"/>
      <c r="E222" s="86"/>
      <c r="F222" s="84"/>
      <c r="G222" s="84"/>
      <c r="H222" s="87"/>
      <c r="I222" s="87">
        <v>0</v>
      </c>
      <c r="J222" s="14"/>
      <c r="K222" s="15"/>
    </row>
    <row r="223" spans="2:11" ht="18">
      <c r="B223" s="81">
        <v>35</v>
      </c>
      <c r="C223" s="81" t="s">
        <v>78</v>
      </c>
      <c r="D223" s="84"/>
      <c r="E223" s="86"/>
      <c r="F223" s="84"/>
      <c r="G223" s="84"/>
      <c r="H223" s="87"/>
      <c r="I223" s="87">
        <v>0</v>
      </c>
      <c r="J223" s="14"/>
      <c r="K223" s="15"/>
    </row>
    <row r="224" spans="2:11" ht="18">
      <c r="B224" s="81">
        <v>36</v>
      </c>
      <c r="C224" s="81" t="s">
        <v>132</v>
      </c>
      <c r="D224" s="85"/>
      <c r="E224" s="86"/>
      <c r="F224" s="84"/>
      <c r="G224" s="84"/>
      <c r="H224" s="87"/>
      <c r="I224" s="87">
        <v>0</v>
      </c>
      <c r="J224" s="14"/>
      <c r="K224" s="15"/>
    </row>
    <row r="225" spans="5:11" ht="18">
      <c r="E225" s="5"/>
      <c r="H225" s="15"/>
      <c r="I225" s="15"/>
      <c r="J225" s="14"/>
      <c r="K225" s="15"/>
    </row>
    <row r="226" spans="3:11" ht="27" customHeight="1">
      <c r="C226" s="52"/>
      <c r="D226" s="52"/>
      <c r="E226" s="53"/>
      <c r="F226" s="5"/>
      <c r="G226" s="39"/>
      <c r="H226" s="18"/>
      <c r="I226" s="18"/>
      <c r="J226" s="77"/>
      <c r="K226" s="14"/>
    </row>
    <row r="227" spans="3:8" ht="12.75">
      <c r="C227" s="7"/>
      <c r="D227" s="7"/>
      <c r="H227" s="5"/>
    </row>
    <row r="228" ht="12.75">
      <c r="E228" s="5"/>
    </row>
    <row r="229" spans="5:8" ht="12.75">
      <c r="E229" s="5"/>
      <c r="G229" s="5"/>
      <c r="H229" s="5"/>
    </row>
    <row r="230" ht="12.75">
      <c r="E230" s="5"/>
    </row>
    <row r="231" ht="12.75">
      <c r="E231" s="5"/>
    </row>
    <row r="232" ht="12.75">
      <c r="E232" s="5"/>
    </row>
    <row r="234" ht="12.75">
      <c r="E234" s="5"/>
    </row>
  </sheetData>
  <sheetProtection/>
  <mergeCells count="10">
    <mergeCell ref="C1:E1"/>
    <mergeCell ref="C2:E2"/>
    <mergeCell ref="B5:J5"/>
    <mergeCell ref="B6:B7"/>
    <mergeCell ref="C6:C7"/>
    <mergeCell ref="D6:D7"/>
    <mergeCell ref="E6:G6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234"/>
  <sheetViews>
    <sheetView zoomScalePageLayoutView="0" workbookViewId="0" topLeftCell="B1">
      <selection activeCell="I6" sqref="B5:K220"/>
    </sheetView>
  </sheetViews>
  <sheetFormatPr defaultColWidth="9.140625" defaultRowHeight="12.75"/>
  <cols>
    <col min="1" max="1" width="2.00390625" style="1" hidden="1" customWidth="1"/>
    <col min="2" max="2" width="6.140625" style="1" customWidth="1"/>
    <col min="3" max="3" width="35.8515625" style="1" customWidth="1"/>
    <col min="4" max="4" width="19.28125" style="1" hidden="1" customWidth="1"/>
    <col min="5" max="5" width="17.8515625" style="1" hidden="1" customWidth="1"/>
    <col min="6" max="6" width="17.57421875" style="1" hidden="1" customWidth="1"/>
    <col min="7" max="7" width="16.8515625" style="1" hidden="1" customWidth="1"/>
    <col min="8" max="8" width="22.28125" style="1" hidden="1" customWidth="1"/>
    <col min="9" max="9" width="12.57421875" style="1" customWidth="1"/>
    <col min="10" max="10" width="15.57421875" style="1" hidden="1" customWidth="1"/>
    <col min="11" max="11" width="21.140625" style="1" bestFit="1" customWidth="1"/>
    <col min="12" max="12" width="26.421875" style="1" customWidth="1"/>
    <col min="13" max="13" width="18.28125" style="1" bestFit="1" customWidth="1"/>
    <col min="14" max="16384" width="9.140625" style="1" customWidth="1"/>
  </cols>
  <sheetData>
    <row r="1" spans="3:8" ht="27" customHeight="1">
      <c r="C1" s="93" t="s">
        <v>56</v>
      </c>
      <c r="D1" s="93"/>
      <c r="E1" s="93"/>
      <c r="F1" s="55"/>
      <c r="G1" s="50"/>
      <c r="H1" s="11"/>
    </row>
    <row r="2" spans="3:9" ht="12" customHeight="1">
      <c r="C2" s="93" t="s">
        <v>57</v>
      </c>
      <c r="D2" s="93"/>
      <c r="E2" s="93"/>
      <c r="F2" s="56"/>
      <c r="G2" s="51"/>
      <c r="H2" s="57"/>
      <c r="I2" s="58"/>
    </row>
    <row r="3" spans="3:13" ht="12.75" customHeight="1">
      <c r="C3" s="59" t="s">
        <v>114</v>
      </c>
      <c r="D3" s="59"/>
      <c r="E3" s="60"/>
      <c r="G3" s="61"/>
      <c r="H3" s="62"/>
      <c r="I3" s="63"/>
      <c r="J3" s="63"/>
      <c r="K3" s="63"/>
      <c r="L3" s="63"/>
      <c r="M3" s="63"/>
    </row>
    <row r="4" spans="2:10" ht="13.5" thickBot="1">
      <c r="B4" s="64"/>
      <c r="C4" s="64"/>
      <c r="D4" s="64"/>
      <c r="E4" s="64"/>
      <c r="F4" s="65"/>
      <c r="G4" s="64"/>
      <c r="H4" s="64"/>
      <c r="I4" s="64"/>
      <c r="J4" s="64"/>
    </row>
    <row r="5" spans="2:21" ht="40.5" customHeight="1">
      <c r="B5" s="99" t="s">
        <v>110</v>
      </c>
      <c r="C5" s="100"/>
      <c r="D5" s="100"/>
      <c r="E5" s="100"/>
      <c r="F5" s="100"/>
      <c r="G5" s="100"/>
      <c r="H5" s="100"/>
      <c r="I5" s="100"/>
      <c r="J5" s="101"/>
      <c r="U5" s="1" t="s">
        <v>51</v>
      </c>
    </row>
    <row r="6" spans="2:10" ht="23.25" customHeight="1">
      <c r="B6" s="92" t="s">
        <v>111</v>
      </c>
      <c r="C6" s="97" t="s">
        <v>112</v>
      </c>
      <c r="D6" s="92" t="s">
        <v>54</v>
      </c>
      <c r="E6" s="98" t="s">
        <v>52</v>
      </c>
      <c r="F6" s="98"/>
      <c r="G6" s="98"/>
      <c r="H6" s="92" t="s">
        <v>53</v>
      </c>
      <c r="I6" s="92" t="s">
        <v>68</v>
      </c>
      <c r="J6" s="92" t="s">
        <v>1</v>
      </c>
    </row>
    <row r="7" spans="2:11" ht="39.75" customHeight="1">
      <c r="B7" s="92"/>
      <c r="C7" s="97"/>
      <c r="D7" s="92"/>
      <c r="E7" s="66" t="s">
        <v>49</v>
      </c>
      <c r="F7" s="66" t="s">
        <v>50</v>
      </c>
      <c r="G7" s="66" t="s">
        <v>55</v>
      </c>
      <c r="H7" s="92"/>
      <c r="I7" s="92"/>
      <c r="J7" s="92"/>
      <c r="K7" s="14"/>
    </row>
    <row r="8" spans="2:11" ht="85.5" customHeight="1" hidden="1">
      <c r="B8" s="32" t="s">
        <v>0</v>
      </c>
      <c r="C8" s="67" t="s">
        <v>1</v>
      </c>
      <c r="D8" s="68"/>
      <c r="E8" s="68" t="s">
        <v>41</v>
      </c>
      <c r="F8" s="68" t="s">
        <v>41</v>
      </c>
      <c r="G8" s="68" t="s">
        <v>41</v>
      </c>
      <c r="H8" s="68" t="s">
        <v>42</v>
      </c>
      <c r="I8" s="68"/>
      <c r="J8" s="69"/>
      <c r="K8" s="14"/>
    </row>
    <row r="9" spans="2:11" ht="14.25" customHeight="1" hidden="1">
      <c r="B9" s="70">
        <v>1</v>
      </c>
      <c r="C9" s="71">
        <v>2</v>
      </c>
      <c r="D9" s="70">
        <v>3</v>
      </c>
      <c r="E9" s="71">
        <v>4</v>
      </c>
      <c r="F9" s="70">
        <v>5</v>
      </c>
      <c r="G9" s="71">
        <v>6</v>
      </c>
      <c r="H9" s="70">
        <v>7</v>
      </c>
      <c r="I9" s="71">
        <v>8</v>
      </c>
      <c r="J9" s="70">
        <v>9</v>
      </c>
      <c r="K9" s="14"/>
    </row>
    <row r="10" spans="2:11" s="8" customFormat="1" ht="18" hidden="1">
      <c r="B10" s="19">
        <v>1</v>
      </c>
      <c r="C10" s="78" t="s">
        <v>34</v>
      </c>
      <c r="D10" s="20">
        <f>D11+D12+D13+D14+D15</f>
        <v>6500280</v>
      </c>
      <c r="E10" s="20">
        <f>E11+E12+E13+E14+E15</f>
        <v>1145608.74</v>
      </c>
      <c r="F10" s="20">
        <f>F11+F12+F13+F14+F15</f>
        <v>17680.92</v>
      </c>
      <c r="G10" s="20">
        <f>G11+G12+G13+G14+G15</f>
        <v>0</v>
      </c>
      <c r="H10" s="20">
        <f aca="true" t="shared" si="0" ref="H10:H73">E10+F10+G10</f>
        <v>1163289.66</v>
      </c>
      <c r="I10" s="43">
        <f>H10/D10*100</f>
        <v>17.89599309568203</v>
      </c>
      <c r="J10" s="72" t="s">
        <v>34</v>
      </c>
      <c r="K10" s="14"/>
    </row>
    <row r="11" spans="2:11" ht="18" hidden="1">
      <c r="B11" s="21" t="s">
        <v>18</v>
      </c>
      <c r="C11" s="40" t="s">
        <v>44</v>
      </c>
      <c r="D11" s="23">
        <v>3928774</v>
      </c>
      <c r="E11" s="23">
        <v>991174.11</v>
      </c>
      <c r="F11" s="23">
        <v>2756.26</v>
      </c>
      <c r="G11" s="23"/>
      <c r="H11" s="2">
        <f t="shared" si="0"/>
        <v>993930.37</v>
      </c>
      <c r="I11" s="54">
        <f aca="true" t="shared" si="1" ref="I11:I74">H11/D11*100</f>
        <v>25.298741286722016</v>
      </c>
      <c r="J11" s="24"/>
      <c r="K11" s="14"/>
    </row>
    <row r="12" spans="2:11" ht="18" hidden="1">
      <c r="B12" s="21" t="s">
        <v>19</v>
      </c>
      <c r="C12" s="40" t="s">
        <v>45</v>
      </c>
      <c r="D12" s="23">
        <v>752131</v>
      </c>
      <c r="E12" s="44">
        <v>105049.46</v>
      </c>
      <c r="F12" s="23">
        <v>823</v>
      </c>
      <c r="G12" s="23"/>
      <c r="H12" s="2">
        <f t="shared" si="0"/>
        <v>105872.46</v>
      </c>
      <c r="I12" s="54">
        <f t="shared" si="1"/>
        <v>14.076332447406104</v>
      </c>
      <c r="J12" s="24"/>
      <c r="K12" s="14"/>
    </row>
    <row r="13" spans="2:11" ht="18" hidden="1">
      <c r="B13" s="21" t="s">
        <v>20</v>
      </c>
      <c r="C13" s="40" t="s">
        <v>46</v>
      </c>
      <c r="D13" s="23">
        <v>145051</v>
      </c>
      <c r="E13" s="23">
        <v>49385.17</v>
      </c>
      <c r="F13" s="23"/>
      <c r="G13" s="23"/>
      <c r="H13" s="2">
        <f t="shared" si="0"/>
        <v>49385.17</v>
      </c>
      <c r="I13" s="54">
        <f t="shared" si="1"/>
        <v>34.04676286271725</v>
      </c>
      <c r="J13" s="24"/>
      <c r="K13" s="15"/>
    </row>
    <row r="14" spans="2:11" ht="18" hidden="1">
      <c r="B14" s="21" t="s">
        <v>21</v>
      </c>
      <c r="C14" s="40" t="s">
        <v>47</v>
      </c>
      <c r="D14" s="23">
        <v>72709</v>
      </c>
      <c r="E14" s="23"/>
      <c r="F14" s="23">
        <v>14101.66</v>
      </c>
      <c r="G14" s="23"/>
      <c r="H14" s="2">
        <f t="shared" si="0"/>
        <v>14101.66</v>
      </c>
      <c r="I14" s="54">
        <f t="shared" si="1"/>
        <v>19.39465540717105</v>
      </c>
      <c r="J14" s="24"/>
      <c r="K14" s="14"/>
    </row>
    <row r="15" spans="2:11" ht="18" hidden="1">
      <c r="B15" s="21" t="s">
        <v>22</v>
      </c>
      <c r="C15" s="40" t="s">
        <v>48</v>
      </c>
      <c r="D15" s="23">
        <v>1601615</v>
      </c>
      <c r="E15" s="23"/>
      <c r="F15" s="23"/>
      <c r="G15" s="23"/>
      <c r="H15" s="2">
        <f t="shared" si="0"/>
        <v>0</v>
      </c>
      <c r="I15" s="54">
        <f t="shared" si="1"/>
        <v>0</v>
      </c>
      <c r="J15" s="24"/>
      <c r="K15" s="15"/>
    </row>
    <row r="16" spans="2:11" s="8" customFormat="1" ht="18" hidden="1">
      <c r="B16" s="19">
        <v>2</v>
      </c>
      <c r="C16" s="78" t="s">
        <v>2</v>
      </c>
      <c r="D16" s="20">
        <f>D17+D18+D19+D20+D21</f>
        <v>4055629</v>
      </c>
      <c r="E16" s="20">
        <f>E17+E18+E19+E20+E21</f>
        <v>642776.1300000001</v>
      </c>
      <c r="F16" s="20">
        <f>F17+F18+F19+F20+F21</f>
        <v>0</v>
      </c>
      <c r="G16" s="20">
        <f>G17+G18+G19+G20+G21</f>
        <v>83778.85</v>
      </c>
      <c r="H16" s="20">
        <f t="shared" si="0"/>
        <v>726554.9800000001</v>
      </c>
      <c r="I16" s="43">
        <f t="shared" si="1"/>
        <v>17.914729872974082</v>
      </c>
      <c r="J16" s="72" t="s">
        <v>2</v>
      </c>
      <c r="K16" s="14"/>
    </row>
    <row r="17" spans="2:12" ht="18" hidden="1">
      <c r="B17" s="21" t="s">
        <v>18</v>
      </c>
      <c r="C17" s="40" t="s">
        <v>44</v>
      </c>
      <c r="D17" s="23">
        <v>2117928</v>
      </c>
      <c r="E17" s="23">
        <v>535866.79</v>
      </c>
      <c r="F17" s="23"/>
      <c r="G17" s="23"/>
      <c r="H17" s="2">
        <f t="shared" si="0"/>
        <v>535866.79</v>
      </c>
      <c r="I17" s="54">
        <f t="shared" si="1"/>
        <v>25.30146397800114</v>
      </c>
      <c r="J17" s="24"/>
      <c r="K17" s="14"/>
      <c r="L17" s="5"/>
    </row>
    <row r="18" spans="2:12" ht="18" hidden="1">
      <c r="B18" s="21" t="s">
        <v>19</v>
      </c>
      <c r="C18" s="40" t="s">
        <v>45</v>
      </c>
      <c r="D18" s="23">
        <v>393832</v>
      </c>
      <c r="E18" s="23">
        <v>64584.17</v>
      </c>
      <c r="F18" s="23"/>
      <c r="G18" s="23">
        <v>58050.45</v>
      </c>
      <c r="H18" s="2">
        <f t="shared" si="0"/>
        <v>122634.62</v>
      </c>
      <c r="I18" s="54">
        <f t="shared" si="1"/>
        <v>31.138815535558308</v>
      </c>
      <c r="J18" s="24"/>
      <c r="K18" s="15"/>
      <c r="L18" s="5"/>
    </row>
    <row r="19" spans="2:11" ht="18" hidden="1">
      <c r="B19" s="21" t="s">
        <v>20</v>
      </c>
      <c r="C19" s="40" t="s">
        <v>46</v>
      </c>
      <c r="D19" s="23">
        <v>162000</v>
      </c>
      <c r="E19" s="23">
        <v>32925.17</v>
      </c>
      <c r="F19" s="23"/>
      <c r="G19" s="23"/>
      <c r="H19" s="2">
        <f t="shared" si="0"/>
        <v>32925.17</v>
      </c>
      <c r="I19" s="54">
        <f t="shared" si="1"/>
        <v>20.324179012345677</v>
      </c>
      <c r="J19" s="24"/>
      <c r="K19" s="14"/>
    </row>
    <row r="20" spans="2:11" ht="18" hidden="1">
      <c r="B20" s="21" t="s">
        <v>21</v>
      </c>
      <c r="C20" s="40" t="s">
        <v>47</v>
      </c>
      <c r="D20" s="23">
        <f>3975+24098+5000+6025</f>
        <v>39098</v>
      </c>
      <c r="E20" s="23">
        <v>9400</v>
      </c>
      <c r="F20" s="23"/>
      <c r="G20" s="23"/>
      <c r="H20" s="2">
        <f t="shared" si="0"/>
        <v>9400</v>
      </c>
      <c r="I20" s="54">
        <f t="shared" si="1"/>
        <v>24.042150493631386</v>
      </c>
      <c r="J20" s="24"/>
      <c r="K20" s="14"/>
    </row>
    <row r="21" spans="2:11" ht="18" hidden="1">
      <c r="B21" s="21" t="s">
        <v>22</v>
      </c>
      <c r="C21" s="40" t="s">
        <v>48</v>
      </c>
      <c r="D21" s="23">
        <v>1342771</v>
      </c>
      <c r="E21" s="23"/>
      <c r="F21" s="23"/>
      <c r="G21" s="23">
        <v>25728.4</v>
      </c>
      <c r="H21" s="2">
        <f t="shared" si="0"/>
        <v>25728.4</v>
      </c>
      <c r="I21" s="54">
        <f t="shared" si="1"/>
        <v>1.9160675945488845</v>
      </c>
      <c r="J21" s="24"/>
      <c r="K21" s="14"/>
    </row>
    <row r="22" spans="2:11" s="8" customFormat="1" ht="18" hidden="1">
      <c r="B22" s="19">
        <v>3</v>
      </c>
      <c r="C22" s="78" t="s">
        <v>33</v>
      </c>
      <c r="D22" s="20">
        <f>D23+D24+D25+D26+D27</f>
        <v>7850225</v>
      </c>
      <c r="E22" s="20">
        <f>E23+E24+E25+E26+E27</f>
        <v>1209184.5100000002</v>
      </c>
      <c r="F22" s="20">
        <f>F23+F24+F25+F26+F27</f>
        <v>12391.02</v>
      </c>
      <c r="G22" s="20">
        <f>G23+G24+G25+G26+G27</f>
        <v>13827.68</v>
      </c>
      <c r="H22" s="20">
        <f t="shared" si="0"/>
        <v>1235403.2100000002</v>
      </c>
      <c r="I22" s="43">
        <f t="shared" si="1"/>
        <v>15.737169444187908</v>
      </c>
      <c r="J22" s="72" t="s">
        <v>33</v>
      </c>
      <c r="K22" s="18"/>
    </row>
    <row r="23" spans="2:11" ht="18" hidden="1">
      <c r="B23" s="21" t="s">
        <v>18</v>
      </c>
      <c r="C23" s="40" t="s">
        <v>44</v>
      </c>
      <c r="D23" s="23">
        <v>4459594</v>
      </c>
      <c r="E23" s="23">
        <v>1112454.86</v>
      </c>
      <c r="F23" s="23"/>
      <c r="G23" s="23"/>
      <c r="H23" s="2">
        <f t="shared" si="0"/>
        <v>1112454.86</v>
      </c>
      <c r="I23" s="54">
        <f t="shared" si="1"/>
        <v>24.945204877394673</v>
      </c>
      <c r="J23" s="24"/>
      <c r="K23" s="15"/>
    </row>
    <row r="24" spans="2:12" ht="18" hidden="1">
      <c r="B24" s="21" t="s">
        <v>19</v>
      </c>
      <c r="C24" s="40" t="s">
        <v>45</v>
      </c>
      <c r="D24" s="23">
        <v>843166</v>
      </c>
      <c r="E24" s="48">
        <v>77217.07</v>
      </c>
      <c r="F24" s="22">
        <v>2355.02</v>
      </c>
      <c r="G24" s="23">
        <v>107.5</v>
      </c>
      <c r="H24" s="2">
        <f t="shared" si="0"/>
        <v>79679.59000000001</v>
      </c>
      <c r="I24" s="54">
        <f t="shared" si="1"/>
        <v>9.450047796044908</v>
      </c>
      <c r="J24" s="24"/>
      <c r="K24" s="15"/>
      <c r="L24" s="5"/>
    </row>
    <row r="25" spans="2:11" ht="18" hidden="1">
      <c r="B25" s="21" t="s">
        <v>20</v>
      </c>
      <c r="C25" s="40" t="s">
        <v>46</v>
      </c>
      <c r="D25" s="23">
        <v>142311</v>
      </c>
      <c r="E25" s="47">
        <v>19512.58</v>
      </c>
      <c r="F25" s="23"/>
      <c r="G25" s="23">
        <v>402.9</v>
      </c>
      <c r="H25" s="2">
        <f t="shared" si="0"/>
        <v>19915.480000000003</v>
      </c>
      <c r="I25" s="54">
        <f t="shared" si="1"/>
        <v>13.994336347857864</v>
      </c>
      <c r="J25" s="24"/>
      <c r="K25" s="14"/>
    </row>
    <row r="26" spans="2:11" ht="18" hidden="1">
      <c r="B26" s="21" t="s">
        <v>21</v>
      </c>
      <c r="C26" s="40" t="s">
        <v>47</v>
      </c>
      <c r="D26" s="23">
        <v>80000</v>
      </c>
      <c r="E26" s="23"/>
      <c r="F26" s="23">
        <v>10036</v>
      </c>
      <c r="G26" s="23"/>
      <c r="H26" s="2">
        <f t="shared" si="0"/>
        <v>10036</v>
      </c>
      <c r="I26" s="54">
        <f t="shared" si="1"/>
        <v>12.545</v>
      </c>
      <c r="J26" s="24"/>
      <c r="K26" s="14"/>
    </row>
    <row r="27" spans="2:11" ht="18" hidden="1">
      <c r="B27" s="21" t="s">
        <v>22</v>
      </c>
      <c r="C27" s="40" t="s">
        <v>48</v>
      </c>
      <c r="D27" s="23">
        <v>2325154</v>
      </c>
      <c r="E27" s="47"/>
      <c r="F27" s="23"/>
      <c r="G27" s="23">
        <v>13317.28</v>
      </c>
      <c r="H27" s="2">
        <f t="shared" si="0"/>
        <v>13317.28</v>
      </c>
      <c r="I27" s="54">
        <f t="shared" si="1"/>
        <v>0.5727482996825157</v>
      </c>
      <c r="J27" s="24"/>
      <c r="K27" s="14"/>
    </row>
    <row r="28" spans="2:11" s="8" customFormat="1" ht="18" hidden="1">
      <c r="B28" s="19">
        <v>4</v>
      </c>
      <c r="C28" s="78" t="s">
        <v>32</v>
      </c>
      <c r="D28" s="20">
        <f>D29+D30+D31+D32+D33</f>
        <v>3135493</v>
      </c>
      <c r="E28" s="20">
        <f>E29+E30+E31+E32+E33</f>
        <v>511783.67999999993</v>
      </c>
      <c r="F28" s="20">
        <f>F29+F30+F31+F32+F33</f>
        <v>0</v>
      </c>
      <c r="G28" s="20">
        <f>G29+G30+G31+G32+G33</f>
        <v>0</v>
      </c>
      <c r="H28" s="20">
        <f t="shared" si="0"/>
        <v>511783.67999999993</v>
      </c>
      <c r="I28" s="43">
        <f t="shared" si="1"/>
        <v>16.3222714896828</v>
      </c>
      <c r="J28" s="72" t="s">
        <v>32</v>
      </c>
      <c r="K28" s="14"/>
    </row>
    <row r="29" spans="2:11" ht="18" hidden="1">
      <c r="B29" s="21" t="s">
        <v>18</v>
      </c>
      <c r="C29" s="40" t="s">
        <v>44</v>
      </c>
      <c r="D29" s="23">
        <v>1800402</v>
      </c>
      <c r="E29" s="23">
        <v>451867.74</v>
      </c>
      <c r="F29" s="23"/>
      <c r="G29" s="23"/>
      <c r="H29" s="2">
        <f t="shared" si="0"/>
        <v>451867.74</v>
      </c>
      <c r="I29" s="54">
        <f t="shared" si="1"/>
        <v>25.098158078029243</v>
      </c>
      <c r="J29" s="24"/>
      <c r="K29" s="15"/>
    </row>
    <row r="30" spans="2:11" ht="18" hidden="1">
      <c r="B30" s="21" t="s">
        <v>19</v>
      </c>
      <c r="C30" s="40" t="s">
        <v>45</v>
      </c>
      <c r="D30" s="23">
        <v>239831</v>
      </c>
      <c r="E30" s="23">
        <v>35765.84</v>
      </c>
      <c r="F30" s="23"/>
      <c r="G30" s="23"/>
      <c r="H30" s="2">
        <f t="shared" si="0"/>
        <v>35765.84</v>
      </c>
      <c r="I30" s="54">
        <f t="shared" si="1"/>
        <v>14.912934524727827</v>
      </c>
      <c r="J30" s="24"/>
      <c r="K30" s="14"/>
    </row>
    <row r="31" spans="2:11" ht="18" hidden="1">
      <c r="B31" s="21" t="s">
        <v>20</v>
      </c>
      <c r="C31" s="40" t="s">
        <v>46</v>
      </c>
      <c r="D31" s="23">
        <v>76000</v>
      </c>
      <c r="E31" s="23">
        <v>17598.1</v>
      </c>
      <c r="F31" s="23"/>
      <c r="G31" s="23"/>
      <c r="H31" s="2">
        <f t="shared" si="0"/>
        <v>17598.1</v>
      </c>
      <c r="I31" s="54">
        <f t="shared" si="1"/>
        <v>23.1553947368421</v>
      </c>
      <c r="J31" s="24"/>
      <c r="K31" s="14"/>
    </row>
    <row r="32" spans="2:11" ht="18" hidden="1">
      <c r="B32" s="21" t="s">
        <v>21</v>
      </c>
      <c r="C32" s="40" t="s">
        <v>47</v>
      </c>
      <c r="D32" s="23">
        <v>38500</v>
      </c>
      <c r="E32" s="23">
        <v>6552</v>
      </c>
      <c r="F32" s="23"/>
      <c r="G32" s="23"/>
      <c r="H32" s="2">
        <f t="shared" si="0"/>
        <v>6552</v>
      </c>
      <c r="I32" s="54">
        <f t="shared" si="1"/>
        <v>17.01818181818182</v>
      </c>
      <c r="J32" s="24"/>
      <c r="K32" s="14"/>
    </row>
    <row r="33" spans="2:11" ht="18" hidden="1">
      <c r="B33" s="21" t="s">
        <v>22</v>
      </c>
      <c r="C33" s="40" t="s">
        <v>48</v>
      </c>
      <c r="D33" s="23">
        <v>980760</v>
      </c>
      <c r="E33" s="23"/>
      <c r="F33" s="23"/>
      <c r="G33" s="23"/>
      <c r="H33" s="2">
        <f t="shared" si="0"/>
        <v>0</v>
      </c>
      <c r="I33" s="54">
        <f t="shared" si="1"/>
        <v>0</v>
      </c>
      <c r="J33" s="24"/>
      <c r="K33" s="14"/>
    </row>
    <row r="34" spans="2:11" s="8" customFormat="1" ht="18" hidden="1">
      <c r="B34" s="19">
        <v>5</v>
      </c>
      <c r="C34" s="78" t="s">
        <v>3</v>
      </c>
      <c r="D34" s="20">
        <f>D35+D36+D37+D38+D39</f>
        <v>11151357</v>
      </c>
      <c r="E34" s="20">
        <f>E35+E36+E37+E38+E39</f>
        <v>1674794.49</v>
      </c>
      <c r="F34" s="20">
        <f>F35+F36+F37+F38+F39</f>
        <v>30640.91</v>
      </c>
      <c r="G34" s="20">
        <f>G35+G36+G37+G38+G39</f>
        <v>0</v>
      </c>
      <c r="H34" s="20">
        <f>H35+H36+H37+H38+H39</f>
        <v>1705435.4</v>
      </c>
      <c r="I34" s="43">
        <f t="shared" si="1"/>
        <v>15.293523469834208</v>
      </c>
      <c r="J34" s="72" t="s">
        <v>3</v>
      </c>
      <c r="K34" s="15"/>
    </row>
    <row r="35" spans="2:11" ht="18" hidden="1">
      <c r="B35" s="21" t="s">
        <v>18</v>
      </c>
      <c r="C35" s="40" t="s">
        <v>44</v>
      </c>
      <c r="D35" s="23">
        <v>5710775</v>
      </c>
      <c r="E35" s="23">
        <v>1427577.97</v>
      </c>
      <c r="F35" s="23">
        <v>4699.41</v>
      </c>
      <c r="G35" s="23"/>
      <c r="H35" s="2">
        <f t="shared" si="0"/>
        <v>1432277.38</v>
      </c>
      <c r="I35" s="54">
        <f t="shared" si="1"/>
        <v>25.08026283648016</v>
      </c>
      <c r="J35" s="24"/>
      <c r="K35" s="15"/>
    </row>
    <row r="36" spans="2:11" ht="18" hidden="1">
      <c r="B36" s="21" t="s">
        <v>19</v>
      </c>
      <c r="C36" s="40" t="s">
        <v>45</v>
      </c>
      <c r="D36" s="23">
        <v>872179</v>
      </c>
      <c r="E36" s="23">
        <v>161982.84</v>
      </c>
      <c r="F36" s="23">
        <v>2221.5</v>
      </c>
      <c r="G36" s="23"/>
      <c r="H36" s="2">
        <f t="shared" si="0"/>
        <v>164204.34</v>
      </c>
      <c r="I36" s="54">
        <f t="shared" si="1"/>
        <v>18.826908237873187</v>
      </c>
      <c r="J36" s="24"/>
      <c r="K36" s="15"/>
    </row>
    <row r="37" spans="2:11" ht="18" hidden="1">
      <c r="B37" s="21" t="s">
        <v>20</v>
      </c>
      <c r="C37" s="40" t="s">
        <v>46</v>
      </c>
      <c r="D37" s="23">
        <v>292071</v>
      </c>
      <c r="E37" s="23">
        <v>66133.68</v>
      </c>
      <c r="F37" s="23"/>
      <c r="G37" s="23"/>
      <c r="H37" s="2">
        <f t="shared" si="0"/>
        <v>66133.68</v>
      </c>
      <c r="I37" s="54">
        <f t="shared" si="1"/>
        <v>22.6430148833674</v>
      </c>
      <c r="J37" s="24"/>
      <c r="K37" s="14"/>
    </row>
    <row r="38" spans="2:11" ht="18" hidden="1">
      <c r="B38" s="21" t="s">
        <v>21</v>
      </c>
      <c r="C38" s="40" t="s">
        <v>47</v>
      </c>
      <c r="D38" s="23">
        <f>60000+5000</f>
        <v>65000</v>
      </c>
      <c r="E38" s="23"/>
      <c r="F38" s="23">
        <v>23720</v>
      </c>
      <c r="G38" s="23"/>
      <c r="H38" s="2">
        <f t="shared" si="0"/>
        <v>23720</v>
      </c>
      <c r="I38" s="54">
        <f t="shared" si="1"/>
        <v>36.49230769230769</v>
      </c>
      <c r="J38" s="24"/>
      <c r="K38" s="14"/>
    </row>
    <row r="39" spans="2:11" ht="18" hidden="1">
      <c r="B39" s="21" t="s">
        <v>22</v>
      </c>
      <c r="C39" s="40" t="s">
        <v>48</v>
      </c>
      <c r="D39" s="23">
        <v>4211332</v>
      </c>
      <c r="E39" s="23">
        <v>19100</v>
      </c>
      <c r="F39" s="23"/>
      <c r="G39" s="23"/>
      <c r="H39" s="2">
        <f t="shared" si="0"/>
        <v>19100</v>
      </c>
      <c r="I39" s="54">
        <f t="shared" si="1"/>
        <v>0.45353821546247125</v>
      </c>
      <c r="J39" s="24"/>
      <c r="K39" s="14"/>
    </row>
    <row r="40" spans="2:11" s="8" customFormat="1" ht="18" hidden="1">
      <c r="B40" s="19">
        <v>6</v>
      </c>
      <c r="C40" s="78" t="s">
        <v>4</v>
      </c>
      <c r="D40" s="20">
        <f>D41+D42+D43+D44+D45</f>
        <v>42516333</v>
      </c>
      <c r="E40" s="25">
        <f>E41+E42+E43+E44+E45</f>
        <v>4673351.53</v>
      </c>
      <c r="F40" s="25">
        <f>F41+F42+F43+F44+F45</f>
        <v>197759.74</v>
      </c>
      <c r="G40" s="25">
        <f>G41+G42+G43+G44+G45</f>
        <v>27657.36</v>
      </c>
      <c r="H40" s="25">
        <f>H41+H42+H43+H44+H45</f>
        <v>4898768.63</v>
      </c>
      <c r="I40" s="43">
        <f t="shared" si="1"/>
        <v>11.522086417942019</v>
      </c>
      <c r="J40" s="73" t="s">
        <v>4</v>
      </c>
      <c r="K40" s="14"/>
    </row>
    <row r="41" spans="2:11" ht="18" hidden="1">
      <c r="B41" s="26" t="s">
        <v>18</v>
      </c>
      <c r="C41" s="40" t="s">
        <v>44</v>
      </c>
      <c r="D41" s="3">
        <v>14377325</v>
      </c>
      <c r="E41" s="3">
        <v>3603500.47</v>
      </c>
      <c r="F41" s="3"/>
      <c r="G41" s="3"/>
      <c r="H41" s="2">
        <f t="shared" si="0"/>
        <v>3603500.47</v>
      </c>
      <c r="I41" s="54">
        <f t="shared" si="1"/>
        <v>25.06377556325673</v>
      </c>
      <c r="J41" s="27"/>
      <c r="K41" s="15"/>
    </row>
    <row r="42" spans="2:11" ht="18" hidden="1">
      <c r="B42" s="26" t="s">
        <v>19</v>
      </c>
      <c r="C42" s="40" t="s">
        <v>45</v>
      </c>
      <c r="D42" s="3">
        <v>4254969</v>
      </c>
      <c r="E42" s="3">
        <v>549274.39</v>
      </c>
      <c r="F42" s="3">
        <v>83759.79</v>
      </c>
      <c r="G42" s="42"/>
      <c r="H42" s="2">
        <f t="shared" si="0"/>
        <v>633034.18</v>
      </c>
      <c r="I42" s="54">
        <f t="shared" si="1"/>
        <v>14.877527427344361</v>
      </c>
      <c r="J42" s="27"/>
      <c r="K42" s="14"/>
    </row>
    <row r="43" spans="2:11" ht="18" hidden="1">
      <c r="B43" s="26" t="s">
        <v>20</v>
      </c>
      <c r="C43" s="40" t="s">
        <v>46</v>
      </c>
      <c r="D43" s="3">
        <v>2694872</v>
      </c>
      <c r="E43" s="3">
        <v>520576.67</v>
      </c>
      <c r="F43" s="3"/>
      <c r="G43" s="3"/>
      <c r="H43" s="2">
        <f t="shared" si="0"/>
        <v>520576.67</v>
      </c>
      <c r="I43" s="54">
        <f t="shared" si="1"/>
        <v>19.317305979653206</v>
      </c>
      <c r="J43" s="27"/>
      <c r="K43" s="14"/>
    </row>
    <row r="44" spans="2:11" ht="18" hidden="1">
      <c r="B44" s="26" t="s">
        <v>21</v>
      </c>
      <c r="C44" s="40" t="s">
        <v>47</v>
      </c>
      <c r="D44" s="3">
        <v>540000</v>
      </c>
      <c r="E44" s="3"/>
      <c r="F44" s="3">
        <v>51965.75</v>
      </c>
      <c r="G44" s="3"/>
      <c r="H44" s="2">
        <f t="shared" si="0"/>
        <v>51965.75</v>
      </c>
      <c r="I44" s="54">
        <f t="shared" si="1"/>
        <v>9.623287037037038</v>
      </c>
      <c r="J44" s="27"/>
      <c r="K44" s="14"/>
    </row>
    <row r="45" spans="2:11" ht="18" hidden="1">
      <c r="B45" s="26" t="s">
        <v>22</v>
      </c>
      <c r="C45" s="40" t="s">
        <v>48</v>
      </c>
      <c r="D45" s="74">
        <v>20649167</v>
      </c>
      <c r="E45" s="3"/>
      <c r="F45" s="3">
        <v>62034.2</v>
      </c>
      <c r="G45" s="4">
        <v>27657.36</v>
      </c>
      <c r="H45" s="2">
        <f t="shared" si="0"/>
        <v>89691.56</v>
      </c>
      <c r="I45" s="54">
        <f t="shared" si="1"/>
        <v>0.4343592165243276</v>
      </c>
      <c r="J45" s="28"/>
      <c r="K45" s="14"/>
    </row>
    <row r="46" spans="2:11" s="8" customFormat="1" ht="18" hidden="1">
      <c r="B46" s="19">
        <v>7</v>
      </c>
      <c r="C46" s="78" t="s">
        <v>5</v>
      </c>
      <c r="D46" s="20">
        <f>D47+D48+D49+D50+D51</f>
        <v>3234082</v>
      </c>
      <c r="E46" s="20">
        <f>E47+E48+E49+E50+E51</f>
        <v>500644.4</v>
      </c>
      <c r="F46" s="20">
        <f>F47+F48+F49+F50+F51</f>
        <v>2000</v>
      </c>
      <c r="G46" s="20">
        <f>G47+G48+G49+G50+G51</f>
        <v>0</v>
      </c>
      <c r="H46" s="20">
        <f>H47+H48+H49+H50+H51</f>
        <v>502644.4</v>
      </c>
      <c r="I46" s="43">
        <f t="shared" si="1"/>
        <v>15.542104374595326</v>
      </c>
      <c r="J46" s="72" t="s">
        <v>5</v>
      </c>
      <c r="K46" s="14"/>
    </row>
    <row r="47" spans="2:11" ht="18" hidden="1">
      <c r="B47" s="21" t="s">
        <v>18</v>
      </c>
      <c r="C47" s="40" t="s">
        <v>44</v>
      </c>
      <c r="D47" s="23">
        <v>1900490</v>
      </c>
      <c r="E47" s="23">
        <v>476452.72</v>
      </c>
      <c r="F47" s="23"/>
      <c r="G47" s="23"/>
      <c r="H47" s="2">
        <f t="shared" si="0"/>
        <v>476452.72</v>
      </c>
      <c r="I47" s="54">
        <f t="shared" si="1"/>
        <v>25.069993527984884</v>
      </c>
      <c r="J47" s="24"/>
      <c r="K47" s="15"/>
    </row>
    <row r="48" spans="2:11" ht="18" hidden="1">
      <c r="B48" s="21" t="s">
        <v>19</v>
      </c>
      <c r="C48" s="40" t="s">
        <v>45</v>
      </c>
      <c r="D48" s="23">
        <v>354092</v>
      </c>
      <c r="E48" s="23">
        <v>9833.53</v>
      </c>
      <c r="F48" s="23"/>
      <c r="G48" s="23"/>
      <c r="H48" s="2">
        <f t="shared" si="0"/>
        <v>9833.53</v>
      </c>
      <c r="I48" s="54">
        <f t="shared" si="1"/>
        <v>2.777111598115744</v>
      </c>
      <c r="J48" s="24"/>
      <c r="K48" s="14"/>
    </row>
    <row r="49" spans="2:11" ht="18" hidden="1">
      <c r="B49" s="21" t="s">
        <v>20</v>
      </c>
      <c r="C49" s="40" t="s">
        <v>46</v>
      </c>
      <c r="D49" s="23">
        <v>109272</v>
      </c>
      <c r="E49" s="23">
        <v>14358.15</v>
      </c>
      <c r="F49" s="23"/>
      <c r="G49" s="23"/>
      <c r="H49" s="2">
        <f t="shared" si="0"/>
        <v>14358.15</v>
      </c>
      <c r="I49" s="54">
        <f t="shared" si="1"/>
        <v>13.139825389852843</v>
      </c>
      <c r="J49" s="24"/>
      <c r="K49" s="14"/>
    </row>
    <row r="50" spans="2:11" ht="18" hidden="1">
      <c r="B50" s="21" t="s">
        <v>21</v>
      </c>
      <c r="C50" s="40" t="s">
        <v>47</v>
      </c>
      <c r="D50" s="23">
        <f>12000+18000+31000</f>
        <v>61000</v>
      </c>
      <c r="E50" s="23"/>
      <c r="F50" s="23">
        <v>2000</v>
      </c>
      <c r="G50" s="23"/>
      <c r="H50" s="2">
        <f t="shared" si="0"/>
        <v>2000</v>
      </c>
      <c r="I50" s="54">
        <f t="shared" si="1"/>
        <v>3.278688524590164</v>
      </c>
      <c r="J50" s="24"/>
      <c r="K50" s="14"/>
    </row>
    <row r="51" spans="2:11" ht="18" hidden="1">
      <c r="B51" s="21" t="s">
        <v>22</v>
      </c>
      <c r="C51" s="40" t="s">
        <v>48</v>
      </c>
      <c r="D51" s="23">
        <v>809228</v>
      </c>
      <c r="E51" s="23"/>
      <c r="F51" s="23"/>
      <c r="G51" s="23"/>
      <c r="H51" s="2">
        <f t="shared" si="0"/>
        <v>0</v>
      </c>
      <c r="I51" s="54">
        <f t="shared" si="1"/>
        <v>0</v>
      </c>
      <c r="J51" s="24"/>
      <c r="K51" s="14"/>
    </row>
    <row r="52" spans="2:11" s="8" customFormat="1" ht="18" hidden="1">
      <c r="B52" s="19">
        <v>8</v>
      </c>
      <c r="C52" s="78" t="s">
        <v>6</v>
      </c>
      <c r="D52" s="20">
        <f>D53+D54+D55+D56+D57</f>
        <v>3725280</v>
      </c>
      <c r="E52" s="20">
        <f>E53+E54+E55+E56+E57</f>
        <v>567672.28</v>
      </c>
      <c r="F52" s="20">
        <f>F53+F54+F55+F56+F57</f>
        <v>20213.82</v>
      </c>
      <c r="G52" s="20">
        <f>G53+G54+G55+G56+G57</f>
        <v>0</v>
      </c>
      <c r="H52" s="20">
        <f>H53+H54+H55+H56+H57</f>
        <v>587886.1000000001</v>
      </c>
      <c r="I52" s="43">
        <f t="shared" si="1"/>
        <v>15.78099095906885</v>
      </c>
      <c r="J52" s="72" t="s">
        <v>6</v>
      </c>
      <c r="K52" s="14"/>
    </row>
    <row r="53" spans="2:11" ht="18" hidden="1">
      <c r="B53" s="21" t="s">
        <v>18</v>
      </c>
      <c r="C53" s="40" t="s">
        <v>44</v>
      </c>
      <c r="D53" s="23">
        <v>2153446</v>
      </c>
      <c r="E53" s="23">
        <v>501423.29</v>
      </c>
      <c r="F53" s="23">
        <v>5125.43</v>
      </c>
      <c r="G53" s="23"/>
      <c r="H53" s="2">
        <f t="shared" si="0"/>
        <v>506548.72</v>
      </c>
      <c r="I53" s="54">
        <f t="shared" si="1"/>
        <v>23.5227036108637</v>
      </c>
      <c r="J53" s="24"/>
      <c r="K53" s="15"/>
    </row>
    <row r="54" spans="2:11" ht="18" hidden="1">
      <c r="B54" s="21" t="s">
        <v>19</v>
      </c>
      <c r="C54" s="40" t="s">
        <v>45</v>
      </c>
      <c r="D54" s="23">
        <v>303087</v>
      </c>
      <c r="E54" s="23">
        <v>44935.07</v>
      </c>
      <c r="F54" s="23">
        <v>7039.59</v>
      </c>
      <c r="G54" s="23"/>
      <c r="H54" s="2">
        <f t="shared" si="0"/>
        <v>51974.66</v>
      </c>
      <c r="I54" s="54">
        <f t="shared" si="1"/>
        <v>17.14842932887257</v>
      </c>
      <c r="J54" s="24"/>
      <c r="K54" s="14"/>
    </row>
    <row r="55" spans="2:11" ht="18" hidden="1">
      <c r="B55" s="21" t="s">
        <v>20</v>
      </c>
      <c r="C55" s="40" t="s">
        <v>46</v>
      </c>
      <c r="D55" s="23">
        <v>91500</v>
      </c>
      <c r="E55" s="23">
        <v>21313.92</v>
      </c>
      <c r="F55" s="23"/>
      <c r="G55" s="23"/>
      <c r="H55" s="2">
        <f t="shared" si="0"/>
        <v>21313.92</v>
      </c>
      <c r="I55" s="54">
        <f t="shared" si="1"/>
        <v>23.293901639344263</v>
      </c>
      <c r="J55" s="24"/>
      <c r="K55" s="14"/>
    </row>
    <row r="56" spans="2:11" ht="18" hidden="1">
      <c r="B56" s="21" t="s">
        <v>21</v>
      </c>
      <c r="C56" s="40" t="s">
        <v>47</v>
      </c>
      <c r="D56" s="23">
        <v>40000</v>
      </c>
      <c r="E56" s="23"/>
      <c r="F56" s="23">
        <v>8048.8</v>
      </c>
      <c r="G56" s="23"/>
      <c r="H56" s="2">
        <f t="shared" si="0"/>
        <v>8048.8</v>
      </c>
      <c r="I56" s="54">
        <f t="shared" si="1"/>
        <v>20.122</v>
      </c>
      <c r="J56" s="24"/>
      <c r="K56" s="14"/>
    </row>
    <row r="57" spans="2:11" ht="18" hidden="1">
      <c r="B57" s="21" t="s">
        <v>22</v>
      </c>
      <c r="C57" s="40" t="s">
        <v>48</v>
      </c>
      <c r="D57" s="23">
        <v>1137247</v>
      </c>
      <c r="E57" s="23"/>
      <c r="F57" s="23"/>
      <c r="G57" s="23"/>
      <c r="H57" s="2">
        <f t="shared" si="0"/>
        <v>0</v>
      </c>
      <c r="I57" s="54">
        <f t="shared" si="1"/>
        <v>0</v>
      </c>
      <c r="J57" s="24"/>
      <c r="K57" s="14"/>
    </row>
    <row r="58" spans="2:11" s="8" customFormat="1" ht="18" hidden="1">
      <c r="B58" s="19">
        <v>9</v>
      </c>
      <c r="C58" s="78" t="s">
        <v>31</v>
      </c>
      <c r="D58" s="20">
        <f>D59+D60+D61+D62+D63</f>
        <v>22481913</v>
      </c>
      <c r="E58" s="20">
        <f>E59+E60+E61+E62+E63</f>
        <v>3700824.08</v>
      </c>
      <c r="F58" s="20">
        <f>F59+F60+F61+F62+F63</f>
        <v>96299</v>
      </c>
      <c r="G58" s="20">
        <f>G59+G60+G61+G62+G63</f>
        <v>417343.86</v>
      </c>
      <c r="H58" s="20">
        <f>H59+H60+H61+H62+H63</f>
        <v>4214466.9399999995</v>
      </c>
      <c r="I58" s="43">
        <f t="shared" si="1"/>
        <v>18.746033489231987</v>
      </c>
      <c r="J58" s="72" t="s">
        <v>31</v>
      </c>
      <c r="K58" s="18"/>
    </row>
    <row r="59" spans="2:11" ht="18" hidden="1">
      <c r="B59" s="21" t="s">
        <v>18</v>
      </c>
      <c r="C59" s="40" t="s">
        <v>44</v>
      </c>
      <c r="D59" s="23">
        <v>9627454</v>
      </c>
      <c r="E59" s="23">
        <v>2403917.64</v>
      </c>
      <c r="F59" s="23"/>
      <c r="G59" s="23"/>
      <c r="H59" s="2">
        <f t="shared" si="0"/>
        <v>2403917.64</v>
      </c>
      <c r="I59" s="54">
        <f t="shared" si="1"/>
        <v>24.96940146377225</v>
      </c>
      <c r="J59" s="24"/>
      <c r="K59" s="15"/>
    </row>
    <row r="60" spans="2:11" ht="18" hidden="1">
      <c r="B60" s="21" t="s">
        <v>19</v>
      </c>
      <c r="C60" s="40" t="s">
        <v>45</v>
      </c>
      <c r="D60" s="23">
        <v>2073762</v>
      </c>
      <c r="E60" s="23">
        <v>269182.66</v>
      </c>
      <c r="F60" s="23"/>
      <c r="G60" s="23">
        <v>28135.87</v>
      </c>
      <c r="H60" s="2">
        <f t="shared" si="0"/>
        <v>297318.52999999997</v>
      </c>
      <c r="I60" s="54">
        <f t="shared" si="1"/>
        <v>14.337157783776536</v>
      </c>
      <c r="J60" s="24"/>
      <c r="K60" s="14"/>
    </row>
    <row r="61" spans="2:11" ht="18" hidden="1">
      <c r="B61" s="21" t="s">
        <v>20</v>
      </c>
      <c r="C61" s="40" t="s">
        <v>46</v>
      </c>
      <c r="D61" s="23">
        <v>612319</v>
      </c>
      <c r="E61" s="23">
        <v>103223.78</v>
      </c>
      <c r="F61" s="23"/>
      <c r="G61" s="23"/>
      <c r="H61" s="2">
        <f t="shared" si="0"/>
        <v>103223.78</v>
      </c>
      <c r="I61" s="54">
        <f t="shared" si="1"/>
        <v>16.85784370565016</v>
      </c>
      <c r="J61" s="24"/>
      <c r="K61" s="14"/>
    </row>
    <row r="62" spans="2:11" ht="18" hidden="1">
      <c r="B62" s="21" t="s">
        <v>21</v>
      </c>
      <c r="C62" s="40" t="s">
        <v>47</v>
      </c>
      <c r="D62" s="23">
        <f>20000+40000+5000+15000+57000+103500+75000</f>
        <v>315500</v>
      </c>
      <c r="E62" s="23"/>
      <c r="F62" s="23">
        <v>25911</v>
      </c>
      <c r="G62" s="23">
        <v>16889.05</v>
      </c>
      <c r="H62" s="2">
        <f t="shared" si="0"/>
        <v>42800.05</v>
      </c>
      <c r="I62" s="54">
        <f t="shared" si="1"/>
        <v>13.565784469096673</v>
      </c>
      <c r="J62" s="24"/>
      <c r="K62" s="14"/>
    </row>
    <row r="63" spans="2:12" ht="18" hidden="1">
      <c r="B63" s="21" t="s">
        <v>22</v>
      </c>
      <c r="C63" s="40" t="s">
        <v>48</v>
      </c>
      <c r="D63" s="23">
        <v>9852878</v>
      </c>
      <c r="E63" s="23">
        <v>924500</v>
      </c>
      <c r="F63" s="23">
        <v>70388</v>
      </c>
      <c r="G63" s="23">
        <v>372318.94</v>
      </c>
      <c r="H63" s="2">
        <f t="shared" si="0"/>
        <v>1367206.94</v>
      </c>
      <c r="I63" s="54">
        <f t="shared" si="1"/>
        <v>13.87621911080194</v>
      </c>
      <c r="J63" s="24"/>
      <c r="K63" s="14"/>
      <c r="L63" s="13"/>
    </row>
    <row r="64" spans="2:11" s="8" customFormat="1" ht="18" hidden="1">
      <c r="B64" s="19">
        <v>10</v>
      </c>
      <c r="C64" s="78" t="s">
        <v>7</v>
      </c>
      <c r="D64" s="20">
        <f>D65+D66+D67+D68+D69</f>
        <v>6593736</v>
      </c>
      <c r="E64" s="20">
        <f>E65+E66+E67+E68+E69</f>
        <v>1002869.51</v>
      </c>
      <c r="F64" s="20">
        <f>F65+F66+F67+F68+F69</f>
        <v>21686.62</v>
      </c>
      <c r="G64" s="20">
        <f>G65+G66+G67+G68+G69</f>
        <v>0</v>
      </c>
      <c r="H64" s="20">
        <f>H65+H66+H67+H68+H69</f>
        <v>1024556.13</v>
      </c>
      <c r="I64" s="43">
        <f t="shared" si="1"/>
        <v>15.538325010282486</v>
      </c>
      <c r="J64" s="72" t="s">
        <v>7</v>
      </c>
      <c r="K64" s="14"/>
    </row>
    <row r="65" spans="2:11" ht="18" hidden="1">
      <c r="B65" s="21" t="s">
        <v>18</v>
      </c>
      <c r="C65" s="40" t="s">
        <v>44</v>
      </c>
      <c r="D65" s="23">
        <v>3611051</v>
      </c>
      <c r="E65" s="23">
        <v>880688.83</v>
      </c>
      <c r="F65" s="23"/>
      <c r="G65" s="23"/>
      <c r="H65" s="2">
        <f t="shared" si="0"/>
        <v>880688.83</v>
      </c>
      <c r="I65" s="54">
        <f t="shared" si="1"/>
        <v>24.388712039791187</v>
      </c>
      <c r="J65" s="24"/>
      <c r="K65" s="15"/>
    </row>
    <row r="66" spans="2:11" ht="18" hidden="1">
      <c r="B66" s="21" t="s">
        <v>19</v>
      </c>
      <c r="C66" s="40" t="s">
        <v>45</v>
      </c>
      <c r="D66" s="23">
        <v>627243</v>
      </c>
      <c r="E66" s="23">
        <v>94922.55</v>
      </c>
      <c r="F66" s="23"/>
      <c r="G66" s="23"/>
      <c r="H66" s="2">
        <f t="shared" si="0"/>
        <v>94922.55</v>
      </c>
      <c r="I66" s="54">
        <f t="shared" si="1"/>
        <v>15.133297621495975</v>
      </c>
      <c r="J66" s="24"/>
      <c r="K66" s="14"/>
    </row>
    <row r="67" spans="2:11" ht="18" hidden="1">
      <c r="B67" s="21" t="s">
        <v>20</v>
      </c>
      <c r="C67" s="40" t="s">
        <v>46</v>
      </c>
      <c r="D67" s="23">
        <v>238623</v>
      </c>
      <c r="E67" s="23">
        <v>27258.13</v>
      </c>
      <c r="F67" s="42"/>
      <c r="G67" s="23"/>
      <c r="H67" s="2">
        <f t="shared" si="0"/>
        <v>27258.13</v>
      </c>
      <c r="I67" s="54">
        <f t="shared" si="1"/>
        <v>11.423094169463967</v>
      </c>
      <c r="J67" s="24"/>
      <c r="K67" s="14"/>
    </row>
    <row r="68" spans="2:11" ht="18" hidden="1">
      <c r="B68" s="21" t="s">
        <v>21</v>
      </c>
      <c r="C68" s="40" t="s">
        <v>47</v>
      </c>
      <c r="D68" s="23">
        <v>60300</v>
      </c>
      <c r="E68" s="23"/>
      <c r="F68" s="23">
        <v>21686.62</v>
      </c>
      <c r="G68" s="23"/>
      <c r="H68" s="2">
        <f t="shared" si="0"/>
        <v>21686.62</v>
      </c>
      <c r="I68" s="54">
        <f t="shared" si="1"/>
        <v>35.964543946932004</v>
      </c>
      <c r="J68" s="24"/>
      <c r="K68" s="14"/>
    </row>
    <row r="69" spans="2:11" ht="18" hidden="1">
      <c r="B69" s="21" t="s">
        <v>22</v>
      </c>
      <c r="C69" s="40" t="s">
        <v>48</v>
      </c>
      <c r="D69" s="23">
        <v>2056519</v>
      </c>
      <c r="E69" s="23"/>
      <c r="F69" s="23"/>
      <c r="G69" s="23"/>
      <c r="H69" s="2">
        <f t="shared" si="0"/>
        <v>0</v>
      </c>
      <c r="I69" s="54">
        <f t="shared" si="1"/>
        <v>0</v>
      </c>
      <c r="J69" s="24"/>
      <c r="K69" s="14"/>
    </row>
    <row r="70" spans="2:11" s="8" customFormat="1" ht="18" hidden="1">
      <c r="B70" s="19">
        <v>11</v>
      </c>
      <c r="C70" s="78" t="s">
        <v>30</v>
      </c>
      <c r="D70" s="20">
        <f>D71+D72+D73+D74+D75</f>
        <v>8061331</v>
      </c>
      <c r="E70" s="20">
        <f>E71+E72+E73+E74+E75</f>
        <v>1152423.7599999998</v>
      </c>
      <c r="F70" s="20">
        <f>F71+F72+F73+F74+F75</f>
        <v>33208.64</v>
      </c>
      <c r="G70" s="20">
        <f>G71+G72+G73+G74+G75</f>
        <v>0</v>
      </c>
      <c r="H70" s="20">
        <f>H71+H72+H73+H74+H75</f>
        <v>1185632.3999999997</v>
      </c>
      <c r="I70" s="43">
        <f t="shared" si="1"/>
        <v>14.70765063486414</v>
      </c>
      <c r="J70" s="72" t="s">
        <v>30</v>
      </c>
      <c r="K70" s="14"/>
    </row>
    <row r="71" spans="2:11" ht="18" hidden="1">
      <c r="B71" s="21" t="s">
        <v>18</v>
      </c>
      <c r="C71" s="40" t="s">
        <v>44</v>
      </c>
      <c r="D71" s="23">
        <v>4108022</v>
      </c>
      <c r="E71" s="23">
        <v>1010877.71</v>
      </c>
      <c r="F71" s="23"/>
      <c r="G71" s="23"/>
      <c r="H71" s="2">
        <f t="shared" si="0"/>
        <v>1010877.71</v>
      </c>
      <c r="I71" s="54">
        <f t="shared" si="1"/>
        <v>24.607407409210563</v>
      </c>
      <c r="J71" s="24"/>
      <c r="K71" s="15"/>
    </row>
    <row r="72" spans="2:11" ht="18" hidden="1">
      <c r="B72" s="21" t="s">
        <v>19</v>
      </c>
      <c r="C72" s="40" t="s">
        <v>45</v>
      </c>
      <c r="D72" s="23">
        <v>785568</v>
      </c>
      <c r="E72" s="23">
        <v>99027.42</v>
      </c>
      <c r="F72" s="22"/>
      <c r="G72" s="23"/>
      <c r="H72" s="2">
        <f t="shared" si="0"/>
        <v>99027.42</v>
      </c>
      <c r="I72" s="54">
        <f t="shared" si="1"/>
        <v>12.605836795796163</v>
      </c>
      <c r="J72" s="24"/>
      <c r="K72" s="14"/>
    </row>
    <row r="73" spans="2:11" ht="18" hidden="1">
      <c r="B73" s="21" t="s">
        <v>20</v>
      </c>
      <c r="C73" s="40" t="s">
        <v>46</v>
      </c>
      <c r="D73" s="23">
        <f>110000+5000+30000+50000</f>
        <v>195000</v>
      </c>
      <c r="E73" s="23">
        <v>42518.63</v>
      </c>
      <c r="F73" s="23"/>
      <c r="G73" s="23"/>
      <c r="H73" s="2">
        <f t="shared" si="0"/>
        <v>42518.63</v>
      </c>
      <c r="I73" s="54">
        <f t="shared" si="1"/>
        <v>21.80442564102564</v>
      </c>
      <c r="J73" s="24"/>
      <c r="K73" s="14"/>
    </row>
    <row r="74" spans="2:11" ht="18" hidden="1">
      <c r="B74" s="21" t="s">
        <v>21</v>
      </c>
      <c r="C74" s="40" t="s">
        <v>47</v>
      </c>
      <c r="D74" s="23">
        <v>110000</v>
      </c>
      <c r="E74" s="23"/>
      <c r="F74" s="23">
        <v>33208.64</v>
      </c>
      <c r="G74" s="23"/>
      <c r="H74" s="2">
        <f aca="true" t="shared" si="2" ref="H74:H137">E74+F74+G74</f>
        <v>33208.64</v>
      </c>
      <c r="I74" s="54">
        <f t="shared" si="1"/>
        <v>30.189672727272725</v>
      </c>
      <c r="J74" s="24"/>
      <c r="K74" s="14"/>
    </row>
    <row r="75" spans="2:11" ht="18" hidden="1">
      <c r="B75" s="21" t="s">
        <v>22</v>
      </c>
      <c r="C75" s="40" t="s">
        <v>48</v>
      </c>
      <c r="D75" s="23">
        <v>2862741</v>
      </c>
      <c r="E75" s="23"/>
      <c r="F75" s="23"/>
      <c r="G75" s="23"/>
      <c r="H75" s="2">
        <f t="shared" si="2"/>
        <v>0</v>
      </c>
      <c r="I75" s="54">
        <f aca="true" t="shared" si="3" ref="I75:I138">H75/D75*100</f>
        <v>0</v>
      </c>
      <c r="J75" s="24"/>
      <c r="K75" s="14"/>
    </row>
    <row r="76" spans="2:11" s="8" customFormat="1" ht="18" hidden="1">
      <c r="B76" s="19">
        <v>12</v>
      </c>
      <c r="C76" s="78" t="s">
        <v>29</v>
      </c>
      <c r="D76" s="20">
        <f>D77+D78+D79+D80+D81</f>
        <v>6517876</v>
      </c>
      <c r="E76" s="20">
        <f>E77+E78+E79+E80+E81</f>
        <v>1253954.8299999998</v>
      </c>
      <c r="F76" s="20">
        <f>F77+F78+F79+F80+F81</f>
        <v>54502.53999999999</v>
      </c>
      <c r="G76" s="20">
        <f>G77+G78+G79+G80+G81</f>
        <v>59086.68</v>
      </c>
      <c r="H76" s="20">
        <f>H77+H78+H79+H80+H81</f>
        <v>1367544.0499999998</v>
      </c>
      <c r="I76" s="43">
        <f t="shared" si="3"/>
        <v>20.981437050965678</v>
      </c>
      <c r="J76" s="72" t="s">
        <v>29</v>
      </c>
      <c r="K76" s="14"/>
    </row>
    <row r="77" spans="2:11" ht="18" hidden="1">
      <c r="B77" s="21" t="s">
        <v>18</v>
      </c>
      <c r="C77" s="40" t="s">
        <v>44</v>
      </c>
      <c r="D77" s="23">
        <v>3861879</v>
      </c>
      <c r="E77" s="23">
        <v>980580.65</v>
      </c>
      <c r="F77" s="23"/>
      <c r="G77" s="23"/>
      <c r="H77" s="2">
        <f t="shared" si="2"/>
        <v>980580.65</v>
      </c>
      <c r="I77" s="54">
        <f t="shared" si="3"/>
        <v>25.39128362126312</v>
      </c>
      <c r="J77" s="24"/>
      <c r="K77" s="15"/>
    </row>
    <row r="78" spans="2:11" ht="18" hidden="1">
      <c r="B78" s="21" t="s">
        <v>19</v>
      </c>
      <c r="C78" s="40" t="s">
        <v>45</v>
      </c>
      <c r="D78" s="23">
        <v>681537</v>
      </c>
      <c r="E78" s="23">
        <v>128929.84</v>
      </c>
      <c r="F78" s="23">
        <v>28252.37</v>
      </c>
      <c r="G78" s="22">
        <v>900</v>
      </c>
      <c r="H78" s="2">
        <f t="shared" si="2"/>
        <v>158082.21</v>
      </c>
      <c r="I78" s="54">
        <f t="shared" si="3"/>
        <v>23.194956400019368</v>
      </c>
      <c r="J78" s="24"/>
      <c r="K78" s="14"/>
    </row>
    <row r="79" spans="2:11" ht="18" hidden="1">
      <c r="B79" s="21" t="s">
        <v>20</v>
      </c>
      <c r="C79" s="40" t="s">
        <v>46</v>
      </c>
      <c r="D79" s="23">
        <f>23100+33242+1200+4000+1440+35969+58881</f>
        <v>157832</v>
      </c>
      <c r="E79" s="23">
        <v>34244.41</v>
      </c>
      <c r="F79" s="23"/>
      <c r="G79" s="23"/>
      <c r="H79" s="2">
        <f t="shared" si="2"/>
        <v>34244.41</v>
      </c>
      <c r="I79" s="54">
        <f t="shared" si="3"/>
        <v>21.696747174210554</v>
      </c>
      <c r="J79" s="24"/>
      <c r="K79" s="14"/>
    </row>
    <row r="80" spans="2:11" ht="18" hidden="1">
      <c r="B80" s="21" t="s">
        <v>21</v>
      </c>
      <c r="C80" s="40" t="s">
        <v>47</v>
      </c>
      <c r="D80" s="23">
        <v>60000</v>
      </c>
      <c r="E80" s="23"/>
      <c r="F80" s="23">
        <v>26250.17</v>
      </c>
      <c r="G80" s="23"/>
      <c r="H80" s="2">
        <f t="shared" si="2"/>
        <v>26250.17</v>
      </c>
      <c r="I80" s="54">
        <f t="shared" si="3"/>
        <v>43.75028333333333</v>
      </c>
      <c r="J80" s="24"/>
      <c r="K80" s="14"/>
    </row>
    <row r="81" spans="2:11" ht="18" hidden="1">
      <c r="B81" s="21" t="s">
        <v>22</v>
      </c>
      <c r="C81" s="40" t="s">
        <v>48</v>
      </c>
      <c r="D81" s="23">
        <v>1756628</v>
      </c>
      <c r="E81" s="23">
        <v>110199.93</v>
      </c>
      <c r="F81" s="23"/>
      <c r="G81" s="23">
        <v>58186.68</v>
      </c>
      <c r="H81" s="2">
        <f t="shared" si="2"/>
        <v>168386.61</v>
      </c>
      <c r="I81" s="54">
        <f t="shared" si="3"/>
        <v>9.585786518261122</v>
      </c>
      <c r="J81" s="24"/>
      <c r="K81" s="14"/>
    </row>
    <row r="82" spans="2:11" s="8" customFormat="1" ht="18" hidden="1">
      <c r="B82" s="19">
        <v>13</v>
      </c>
      <c r="C82" s="78" t="s">
        <v>8</v>
      </c>
      <c r="D82" s="20">
        <f>D83+D84+D85+D86+D87</f>
        <v>4239773</v>
      </c>
      <c r="E82" s="20">
        <f>E83+E84+E85+E86+E87</f>
        <v>702055.65</v>
      </c>
      <c r="F82" s="20">
        <f>F83+F84+F85+F86+F87</f>
        <v>0</v>
      </c>
      <c r="G82" s="20">
        <f>G83+G84+G85+G86+G87</f>
        <v>0</v>
      </c>
      <c r="H82" s="20">
        <f>H83+H84+H85+H86+H87</f>
        <v>702055.65</v>
      </c>
      <c r="I82" s="43">
        <f t="shared" si="3"/>
        <v>16.55880279439489</v>
      </c>
      <c r="J82" s="72" t="s">
        <v>8</v>
      </c>
      <c r="K82" s="14"/>
    </row>
    <row r="83" spans="2:11" ht="18" hidden="1">
      <c r="B83" s="21" t="s">
        <v>18</v>
      </c>
      <c r="C83" s="40" t="s">
        <v>44</v>
      </c>
      <c r="D83" s="23">
        <v>2598590</v>
      </c>
      <c r="E83" s="23">
        <v>643921.4</v>
      </c>
      <c r="F83" s="23"/>
      <c r="G83" s="23"/>
      <c r="H83" s="2">
        <f t="shared" si="2"/>
        <v>643921.4</v>
      </c>
      <c r="I83" s="54">
        <f t="shared" si="3"/>
        <v>24.779645884883728</v>
      </c>
      <c r="J83" s="24"/>
      <c r="K83" s="15"/>
    </row>
    <row r="84" spans="2:11" ht="18" hidden="1">
      <c r="B84" s="21" t="s">
        <v>19</v>
      </c>
      <c r="C84" s="40" t="s">
        <v>45</v>
      </c>
      <c r="D84" s="23">
        <v>268076</v>
      </c>
      <c r="E84" s="23">
        <v>27557.57</v>
      </c>
      <c r="F84" s="23"/>
      <c r="G84" s="23"/>
      <c r="H84" s="2">
        <f t="shared" si="2"/>
        <v>27557.57</v>
      </c>
      <c r="I84" s="54">
        <f t="shared" si="3"/>
        <v>10.279760217251823</v>
      </c>
      <c r="J84" s="24"/>
      <c r="K84" s="14"/>
    </row>
    <row r="85" spans="2:11" ht="18" hidden="1">
      <c r="B85" s="21" t="s">
        <v>20</v>
      </c>
      <c r="C85" s="40" t="s">
        <v>46</v>
      </c>
      <c r="D85" s="23">
        <v>131033</v>
      </c>
      <c r="E85" s="23">
        <v>30576.68</v>
      </c>
      <c r="F85" s="23"/>
      <c r="G85" s="23"/>
      <c r="H85" s="2">
        <f t="shared" si="2"/>
        <v>30576.68</v>
      </c>
      <c r="I85" s="54">
        <f t="shared" si="3"/>
        <v>23.335098791907384</v>
      </c>
      <c r="J85" s="24"/>
      <c r="K85" s="14"/>
    </row>
    <row r="86" spans="2:11" ht="18" hidden="1">
      <c r="B86" s="21" t="s">
        <v>21</v>
      </c>
      <c r="C86" s="40" t="s">
        <v>47</v>
      </c>
      <c r="D86" s="23">
        <v>10000</v>
      </c>
      <c r="E86" s="23"/>
      <c r="F86" s="23"/>
      <c r="G86" s="23"/>
      <c r="H86" s="2">
        <f t="shared" si="2"/>
        <v>0</v>
      </c>
      <c r="I86" s="54">
        <f t="shared" si="3"/>
        <v>0</v>
      </c>
      <c r="J86" s="24"/>
      <c r="K86" s="14"/>
    </row>
    <row r="87" spans="2:11" ht="18" hidden="1">
      <c r="B87" s="21" t="s">
        <v>22</v>
      </c>
      <c r="C87" s="40" t="s">
        <v>48</v>
      </c>
      <c r="D87" s="23">
        <v>1232074</v>
      </c>
      <c r="E87" s="23"/>
      <c r="F87" s="23"/>
      <c r="G87" s="23"/>
      <c r="H87" s="2">
        <f t="shared" si="2"/>
        <v>0</v>
      </c>
      <c r="I87" s="54">
        <f t="shared" si="3"/>
        <v>0</v>
      </c>
      <c r="J87" s="24"/>
      <c r="K87" s="14"/>
    </row>
    <row r="88" spans="2:11" s="8" customFormat="1" ht="18" hidden="1">
      <c r="B88" s="19">
        <v>14</v>
      </c>
      <c r="C88" s="78" t="s">
        <v>28</v>
      </c>
      <c r="D88" s="20">
        <f>D89+D90+D91+D92+D93</f>
        <v>12244283</v>
      </c>
      <c r="E88" s="20">
        <f>E89+E90+E91+E92+E93</f>
        <v>2059400.0800000003</v>
      </c>
      <c r="F88" s="20">
        <f>F89+F90+F91+F92+F93</f>
        <v>227967.21000000002</v>
      </c>
      <c r="G88" s="20">
        <f>G89+G90+G91+G92+G93</f>
        <v>159244.96</v>
      </c>
      <c r="H88" s="20">
        <f>H89+H90+H91+H92+H93</f>
        <v>2446612.25</v>
      </c>
      <c r="I88" s="43">
        <f t="shared" si="3"/>
        <v>19.981670221114623</v>
      </c>
      <c r="J88" s="72" t="s">
        <v>28</v>
      </c>
      <c r="K88" s="18"/>
    </row>
    <row r="89" spans="2:11" ht="18" hidden="1">
      <c r="B89" s="21" t="s">
        <v>18</v>
      </c>
      <c r="C89" s="40" t="s">
        <v>44</v>
      </c>
      <c r="D89" s="23">
        <v>6544675</v>
      </c>
      <c r="E89" s="37">
        <v>1647015.37</v>
      </c>
      <c r="F89" s="37">
        <v>5570.38</v>
      </c>
      <c r="G89" s="42"/>
      <c r="H89" s="2">
        <f t="shared" si="2"/>
        <v>1652585.75</v>
      </c>
      <c r="I89" s="54">
        <f t="shared" si="3"/>
        <v>25.250845152738677</v>
      </c>
      <c r="J89" s="24"/>
      <c r="K89" s="15"/>
    </row>
    <row r="90" spans="2:11" ht="18" hidden="1">
      <c r="B90" s="21" t="s">
        <v>19</v>
      </c>
      <c r="C90" s="40" t="s">
        <v>45</v>
      </c>
      <c r="D90" s="23">
        <v>1351085</v>
      </c>
      <c r="E90" s="37">
        <v>273435.14</v>
      </c>
      <c r="F90" s="37">
        <v>3860</v>
      </c>
      <c r="G90" s="37">
        <v>56780.42</v>
      </c>
      <c r="H90" s="2">
        <f t="shared" si="2"/>
        <v>334075.56</v>
      </c>
      <c r="I90" s="54">
        <f t="shared" si="3"/>
        <v>24.726465026256676</v>
      </c>
      <c r="J90" s="24"/>
      <c r="K90" s="14"/>
    </row>
    <row r="91" spans="2:11" ht="18" hidden="1">
      <c r="B91" s="21" t="s">
        <v>20</v>
      </c>
      <c r="C91" s="40" t="s">
        <v>46</v>
      </c>
      <c r="D91" s="23">
        <v>519000</v>
      </c>
      <c r="E91" s="37">
        <v>138949.57</v>
      </c>
      <c r="F91" s="37"/>
      <c r="G91" s="37"/>
      <c r="H91" s="2">
        <f t="shared" si="2"/>
        <v>138949.57</v>
      </c>
      <c r="I91" s="54">
        <f t="shared" si="3"/>
        <v>26.772556840077073</v>
      </c>
      <c r="J91" s="24"/>
      <c r="K91" s="14"/>
    </row>
    <row r="92" spans="2:11" ht="18" hidden="1">
      <c r="B92" s="21" t="s">
        <v>21</v>
      </c>
      <c r="C92" s="40" t="s">
        <v>47</v>
      </c>
      <c r="D92" s="23">
        <v>200000</v>
      </c>
      <c r="E92" s="37"/>
      <c r="F92" s="37">
        <v>99456</v>
      </c>
      <c r="G92" s="37"/>
      <c r="H92" s="2">
        <f t="shared" si="2"/>
        <v>99456</v>
      </c>
      <c r="I92" s="54">
        <f t="shared" si="3"/>
        <v>49.728</v>
      </c>
      <c r="J92" s="24"/>
      <c r="K92" s="14"/>
    </row>
    <row r="93" spans="2:11" ht="18" hidden="1">
      <c r="B93" s="21" t="s">
        <v>22</v>
      </c>
      <c r="C93" s="40" t="s">
        <v>48</v>
      </c>
      <c r="D93" s="23">
        <v>3629523</v>
      </c>
      <c r="E93" s="37"/>
      <c r="F93" s="37">
        <v>119080.83</v>
      </c>
      <c r="G93" s="37">
        <v>102464.54</v>
      </c>
      <c r="H93" s="2">
        <f t="shared" si="2"/>
        <v>221545.37</v>
      </c>
      <c r="I93" s="54">
        <f t="shared" si="3"/>
        <v>6.103980330197659</v>
      </c>
      <c r="J93" s="24"/>
      <c r="K93" s="14"/>
    </row>
    <row r="94" spans="2:11" s="8" customFormat="1" ht="18" hidden="1">
      <c r="B94" s="19">
        <v>15</v>
      </c>
      <c r="C94" s="79" t="s">
        <v>9</v>
      </c>
      <c r="D94" s="20">
        <f>D95+D96+D97+D98+D99</f>
        <v>5038352</v>
      </c>
      <c r="E94" s="20">
        <f>E95+E96+E97+E98+E99</f>
        <v>752771.0900000001</v>
      </c>
      <c r="F94" s="20">
        <f>F95+F96+F97+F98+F99</f>
        <v>0</v>
      </c>
      <c r="G94" s="20">
        <f>G95+G96+G97+G98+G99</f>
        <v>31160</v>
      </c>
      <c r="H94" s="20">
        <f>H95+H96+H97+H98+H99</f>
        <v>783931.0900000001</v>
      </c>
      <c r="I94" s="43">
        <f t="shared" si="3"/>
        <v>15.55927592990724</v>
      </c>
      <c r="J94" s="72" t="s">
        <v>9</v>
      </c>
      <c r="K94" s="14"/>
    </row>
    <row r="95" spans="2:11" ht="18" hidden="1">
      <c r="B95" s="21" t="s">
        <v>18</v>
      </c>
      <c r="C95" s="40" t="s">
        <v>44</v>
      </c>
      <c r="D95" s="37">
        <v>2863962</v>
      </c>
      <c r="E95" s="37">
        <v>706824.53</v>
      </c>
      <c r="F95" s="37"/>
      <c r="G95" s="37"/>
      <c r="H95" s="2">
        <f t="shared" si="2"/>
        <v>706824.53</v>
      </c>
      <c r="I95" s="54">
        <f t="shared" si="3"/>
        <v>24.67995490163627</v>
      </c>
      <c r="J95" s="38"/>
      <c r="K95" s="15"/>
    </row>
    <row r="96" spans="2:11" ht="18" hidden="1">
      <c r="B96" s="21" t="s">
        <v>19</v>
      </c>
      <c r="C96" s="40" t="s">
        <v>45</v>
      </c>
      <c r="D96" s="37">
        <v>528483</v>
      </c>
      <c r="E96" s="37">
        <v>35908.88</v>
      </c>
      <c r="F96" s="37"/>
      <c r="G96" s="37"/>
      <c r="H96" s="2">
        <f t="shared" si="2"/>
        <v>35908.88</v>
      </c>
      <c r="I96" s="54">
        <f t="shared" si="3"/>
        <v>6.794708628281325</v>
      </c>
      <c r="J96" s="38"/>
      <c r="K96" s="14"/>
    </row>
    <row r="97" spans="2:11" ht="18" hidden="1">
      <c r="B97" s="21" t="s">
        <v>20</v>
      </c>
      <c r="C97" s="40" t="s">
        <v>46</v>
      </c>
      <c r="D97" s="37">
        <v>120991</v>
      </c>
      <c r="E97" s="37">
        <v>10037.68</v>
      </c>
      <c r="F97" s="37"/>
      <c r="G97" s="37"/>
      <c r="H97" s="2">
        <f t="shared" si="2"/>
        <v>10037.68</v>
      </c>
      <c r="I97" s="54">
        <f t="shared" si="3"/>
        <v>8.296220380028267</v>
      </c>
      <c r="J97" s="38"/>
      <c r="K97" s="14"/>
    </row>
    <row r="98" spans="2:11" ht="18" hidden="1">
      <c r="B98" s="21" t="s">
        <v>21</v>
      </c>
      <c r="C98" s="40" t="s">
        <v>47</v>
      </c>
      <c r="D98" s="37">
        <v>87200</v>
      </c>
      <c r="E98" s="37"/>
      <c r="F98" s="37"/>
      <c r="G98" s="37"/>
      <c r="H98" s="2">
        <f t="shared" si="2"/>
        <v>0</v>
      </c>
      <c r="I98" s="54">
        <f t="shared" si="3"/>
        <v>0</v>
      </c>
      <c r="J98" s="38"/>
      <c r="K98" s="14"/>
    </row>
    <row r="99" spans="2:11" ht="18" hidden="1">
      <c r="B99" s="21" t="s">
        <v>22</v>
      </c>
      <c r="C99" s="40" t="s">
        <v>48</v>
      </c>
      <c r="D99" s="37">
        <v>1437716</v>
      </c>
      <c r="E99" s="37"/>
      <c r="F99" s="37"/>
      <c r="G99" s="37">
        <v>31160</v>
      </c>
      <c r="H99" s="2">
        <f t="shared" si="2"/>
        <v>31160</v>
      </c>
      <c r="I99" s="54">
        <f t="shared" si="3"/>
        <v>2.1673265095470873</v>
      </c>
      <c r="J99" s="38"/>
      <c r="K99" s="14"/>
    </row>
    <row r="100" spans="2:11" s="8" customFormat="1" ht="18" hidden="1">
      <c r="B100" s="19">
        <v>16</v>
      </c>
      <c r="C100" s="78" t="s">
        <v>27</v>
      </c>
      <c r="D100" s="20">
        <f>D101+D102+D103+D104+D105</f>
        <v>4996631</v>
      </c>
      <c r="E100" s="20">
        <f>E101+E102+E103+E104+E105</f>
        <v>937824.14</v>
      </c>
      <c r="F100" s="20">
        <f>F101+F102+F103+F104+F105</f>
        <v>24396.949999999997</v>
      </c>
      <c r="G100" s="20">
        <f>G101+G102+G103+G104+G105</f>
        <v>0</v>
      </c>
      <c r="H100" s="20">
        <f>H101+H102+H103+H104+H105</f>
        <v>962221.09</v>
      </c>
      <c r="I100" s="43">
        <f t="shared" si="3"/>
        <v>19.257397434391294</v>
      </c>
      <c r="J100" s="72" t="s">
        <v>27</v>
      </c>
      <c r="K100" s="14"/>
    </row>
    <row r="101" spans="2:11" ht="18" hidden="1">
      <c r="B101" s="21" t="s">
        <v>18</v>
      </c>
      <c r="C101" s="40" t="s">
        <v>44</v>
      </c>
      <c r="D101" s="37">
        <v>2888676</v>
      </c>
      <c r="E101" s="37">
        <v>716465.83</v>
      </c>
      <c r="F101" s="37">
        <v>2724.37</v>
      </c>
      <c r="G101" s="37"/>
      <c r="H101" s="2">
        <f t="shared" si="2"/>
        <v>719190.2</v>
      </c>
      <c r="I101" s="54">
        <f t="shared" si="3"/>
        <v>24.896880093163787</v>
      </c>
      <c r="J101" s="38"/>
      <c r="K101" s="14"/>
    </row>
    <row r="102" spans="2:11" ht="18" hidden="1">
      <c r="B102" s="21" t="s">
        <v>19</v>
      </c>
      <c r="C102" s="40" t="s">
        <v>45</v>
      </c>
      <c r="D102" s="37">
        <v>476515</v>
      </c>
      <c r="E102" s="37">
        <v>72380.4</v>
      </c>
      <c r="F102" s="37">
        <v>16704.07</v>
      </c>
      <c r="G102" s="37"/>
      <c r="H102" s="2">
        <f t="shared" si="2"/>
        <v>89084.47</v>
      </c>
      <c r="I102" s="54">
        <f t="shared" si="3"/>
        <v>18.69499805882291</v>
      </c>
      <c r="J102" s="38"/>
      <c r="K102" s="14"/>
    </row>
    <row r="103" spans="2:11" ht="18" hidden="1">
      <c r="B103" s="21" t="s">
        <v>20</v>
      </c>
      <c r="C103" s="40" t="s">
        <v>46</v>
      </c>
      <c r="D103" s="37">
        <v>171111</v>
      </c>
      <c r="E103" s="37">
        <v>26461.41</v>
      </c>
      <c r="F103" s="37"/>
      <c r="G103" s="37"/>
      <c r="H103" s="2">
        <f t="shared" si="2"/>
        <v>26461.41</v>
      </c>
      <c r="I103" s="54">
        <f t="shared" si="3"/>
        <v>15.464470431474306</v>
      </c>
      <c r="J103" s="38"/>
      <c r="K103" s="14"/>
    </row>
    <row r="104" spans="2:11" ht="18" hidden="1">
      <c r="B104" s="21" t="s">
        <v>21</v>
      </c>
      <c r="C104" s="40" t="s">
        <v>47</v>
      </c>
      <c r="D104" s="37">
        <f>5000+5000+20000+2000+5000+18000</f>
        <v>55000</v>
      </c>
      <c r="E104" s="37"/>
      <c r="F104" s="37">
        <v>4968.51</v>
      </c>
      <c r="G104" s="37"/>
      <c r="H104" s="2">
        <f t="shared" si="2"/>
        <v>4968.51</v>
      </c>
      <c r="I104" s="54">
        <f t="shared" si="3"/>
        <v>9.033654545454546</v>
      </c>
      <c r="J104" s="38"/>
      <c r="K104" s="14"/>
    </row>
    <row r="105" spans="2:11" ht="18" hidden="1">
      <c r="B105" s="21" t="s">
        <v>22</v>
      </c>
      <c r="C105" s="40" t="s">
        <v>48</v>
      </c>
      <c r="D105" s="37">
        <v>1405329</v>
      </c>
      <c r="E105" s="37">
        <v>122516.5</v>
      </c>
      <c r="F105" s="37"/>
      <c r="G105" s="37"/>
      <c r="H105" s="2">
        <f t="shared" si="2"/>
        <v>122516.5</v>
      </c>
      <c r="I105" s="54">
        <f t="shared" si="3"/>
        <v>8.7179941494127</v>
      </c>
      <c r="J105" s="38"/>
      <c r="K105" s="14"/>
    </row>
    <row r="106" spans="2:11" s="8" customFormat="1" ht="18" hidden="1">
      <c r="B106" s="19">
        <v>17</v>
      </c>
      <c r="C106" s="79" t="s">
        <v>26</v>
      </c>
      <c r="D106" s="20">
        <f>D107+D108+D109+D110+D111</f>
        <v>12638499</v>
      </c>
      <c r="E106" s="20">
        <f>E107+E108+E109+E110+E111</f>
        <v>2018751.0300000003</v>
      </c>
      <c r="F106" s="20">
        <f>F107+F108+F109+F110+F111</f>
        <v>37629.68</v>
      </c>
      <c r="G106" s="20"/>
      <c r="H106" s="20">
        <f>H107+H108+H109+H110+H111</f>
        <v>2056380.7100000002</v>
      </c>
      <c r="I106" s="43">
        <f t="shared" si="3"/>
        <v>16.270766884580205</v>
      </c>
      <c r="J106" s="72" t="s">
        <v>26</v>
      </c>
      <c r="K106" s="15"/>
    </row>
    <row r="107" spans="2:11" ht="18" hidden="1">
      <c r="B107" s="21" t="s">
        <v>18</v>
      </c>
      <c r="C107" s="40" t="s">
        <v>44</v>
      </c>
      <c r="D107" s="37">
        <v>7018502</v>
      </c>
      <c r="E107" s="37">
        <v>1739713.87</v>
      </c>
      <c r="F107" s="37">
        <v>4542.61</v>
      </c>
      <c r="G107" s="37"/>
      <c r="H107" s="2">
        <f t="shared" si="2"/>
        <v>1744256.4800000002</v>
      </c>
      <c r="I107" s="54">
        <f t="shared" si="3"/>
        <v>24.85226163645747</v>
      </c>
      <c r="J107" s="38"/>
      <c r="K107" s="15"/>
    </row>
    <row r="108" spans="2:11" ht="18" hidden="1">
      <c r="B108" s="21" t="s">
        <v>19</v>
      </c>
      <c r="C108" s="40" t="s">
        <v>45</v>
      </c>
      <c r="D108" s="37">
        <v>1037922</v>
      </c>
      <c r="E108" s="37">
        <v>160296.34</v>
      </c>
      <c r="F108" s="37">
        <v>4657.07</v>
      </c>
      <c r="G108" s="37"/>
      <c r="H108" s="2">
        <f t="shared" si="2"/>
        <v>164953.41</v>
      </c>
      <c r="I108" s="54">
        <f t="shared" si="3"/>
        <v>15.892659564013481</v>
      </c>
      <c r="J108" s="38"/>
      <c r="K108" s="14"/>
    </row>
    <row r="109" spans="2:11" ht="18" hidden="1">
      <c r="B109" s="21" t="s">
        <v>20</v>
      </c>
      <c r="C109" s="40" t="s">
        <v>46</v>
      </c>
      <c r="D109" s="37">
        <v>475437</v>
      </c>
      <c r="E109" s="37">
        <v>118740.82</v>
      </c>
      <c r="F109" s="37"/>
      <c r="G109" s="37"/>
      <c r="H109" s="2">
        <f t="shared" si="2"/>
        <v>118740.82</v>
      </c>
      <c r="I109" s="54">
        <f t="shared" si="3"/>
        <v>24.975090285358526</v>
      </c>
      <c r="J109" s="38"/>
      <c r="K109" s="14"/>
    </row>
    <row r="110" spans="2:11" ht="18" hidden="1">
      <c r="B110" s="21" t="s">
        <v>21</v>
      </c>
      <c r="C110" s="40" t="s">
        <v>47</v>
      </c>
      <c r="D110" s="37">
        <v>213121</v>
      </c>
      <c r="E110" s="37"/>
      <c r="F110" s="37">
        <v>28430</v>
      </c>
      <c r="G110" s="37"/>
      <c r="H110" s="2">
        <f t="shared" si="2"/>
        <v>28430</v>
      </c>
      <c r="I110" s="54">
        <f t="shared" si="3"/>
        <v>13.339839809310202</v>
      </c>
      <c r="J110" s="38"/>
      <c r="K110" s="14"/>
    </row>
    <row r="111" spans="2:11" ht="18" hidden="1">
      <c r="B111" s="21" t="s">
        <v>22</v>
      </c>
      <c r="C111" s="40" t="s">
        <v>48</v>
      </c>
      <c r="D111" s="37">
        <v>3893517</v>
      </c>
      <c r="E111" s="37"/>
      <c r="F111" s="37"/>
      <c r="G111" s="37"/>
      <c r="H111" s="2">
        <f t="shared" si="2"/>
        <v>0</v>
      </c>
      <c r="I111" s="54">
        <f t="shared" si="3"/>
        <v>0</v>
      </c>
      <c r="J111" s="38"/>
      <c r="K111" s="14"/>
    </row>
    <row r="112" spans="2:11" s="8" customFormat="1" ht="18" hidden="1">
      <c r="B112" s="19">
        <v>18</v>
      </c>
      <c r="C112" s="78" t="s">
        <v>10</v>
      </c>
      <c r="D112" s="20">
        <f>D113+D114+D115+D116+D117</f>
        <v>2068668</v>
      </c>
      <c r="E112" s="20">
        <f>E113+E114+E115+E116+E117</f>
        <v>264466.48</v>
      </c>
      <c r="F112" s="20">
        <f>F113+F114+F115+F116+F117</f>
        <v>0</v>
      </c>
      <c r="G112" s="20">
        <f>G113+G114+G115+G116+G117</f>
        <v>0</v>
      </c>
      <c r="H112" s="20">
        <f>H113+H114+H115+H116+H117</f>
        <v>264466.48</v>
      </c>
      <c r="I112" s="43">
        <f t="shared" si="3"/>
        <v>12.784384927885961</v>
      </c>
      <c r="J112" s="72" t="s">
        <v>10</v>
      </c>
      <c r="K112" s="15"/>
    </row>
    <row r="113" spans="2:11" ht="18" hidden="1">
      <c r="B113" s="21" t="s">
        <v>18</v>
      </c>
      <c r="C113" s="40" t="s">
        <v>44</v>
      </c>
      <c r="D113" s="37">
        <v>1180268</v>
      </c>
      <c r="E113" s="37">
        <v>264097.72</v>
      </c>
      <c r="F113" s="37">
        <v>0</v>
      </c>
      <c r="G113" s="37">
        <v>0</v>
      </c>
      <c r="H113" s="2">
        <f t="shared" si="2"/>
        <v>264097.72</v>
      </c>
      <c r="I113" s="54">
        <f t="shared" si="3"/>
        <v>22.376080686759277</v>
      </c>
      <c r="J113" s="38"/>
      <c r="K113" s="15"/>
    </row>
    <row r="114" spans="2:11" ht="18" hidden="1">
      <c r="B114" s="21" t="s">
        <v>19</v>
      </c>
      <c r="C114" s="40" t="s">
        <v>45</v>
      </c>
      <c r="D114" s="37">
        <v>213892</v>
      </c>
      <c r="E114" s="37">
        <v>368.76</v>
      </c>
      <c r="F114" s="37">
        <v>0</v>
      </c>
      <c r="G114" s="37">
        <v>0</v>
      </c>
      <c r="H114" s="2">
        <f t="shared" si="2"/>
        <v>368.76</v>
      </c>
      <c r="I114" s="54">
        <f t="shared" si="3"/>
        <v>0.17240476502159968</v>
      </c>
      <c r="J114" s="38"/>
      <c r="K114" s="14"/>
    </row>
    <row r="115" spans="2:11" ht="18" hidden="1">
      <c r="B115" s="21" t="s">
        <v>20</v>
      </c>
      <c r="C115" s="40" t="s">
        <v>46</v>
      </c>
      <c r="D115" s="37">
        <v>138000</v>
      </c>
      <c r="E115" s="37">
        <f>0</f>
        <v>0</v>
      </c>
      <c r="F115" s="37">
        <v>0</v>
      </c>
      <c r="G115" s="37">
        <v>0</v>
      </c>
      <c r="H115" s="2">
        <f t="shared" si="2"/>
        <v>0</v>
      </c>
      <c r="I115" s="54">
        <f t="shared" si="3"/>
        <v>0</v>
      </c>
      <c r="J115" s="38"/>
      <c r="K115" s="14"/>
    </row>
    <row r="116" spans="2:11" ht="18" hidden="1">
      <c r="B116" s="21" t="s">
        <v>21</v>
      </c>
      <c r="C116" s="40" t="s">
        <v>47</v>
      </c>
      <c r="D116" s="37">
        <v>5000</v>
      </c>
      <c r="E116" s="37">
        <v>0</v>
      </c>
      <c r="F116" s="37">
        <v>0</v>
      </c>
      <c r="G116" s="37">
        <v>0</v>
      </c>
      <c r="H116" s="2">
        <f t="shared" si="2"/>
        <v>0</v>
      </c>
      <c r="I116" s="54">
        <f t="shared" si="3"/>
        <v>0</v>
      </c>
      <c r="J116" s="38"/>
      <c r="K116" s="14"/>
    </row>
    <row r="117" spans="2:11" ht="18" hidden="1">
      <c r="B117" s="21" t="s">
        <v>22</v>
      </c>
      <c r="C117" s="40" t="s">
        <v>48</v>
      </c>
      <c r="D117" s="37">
        <v>531508</v>
      </c>
      <c r="E117" s="37"/>
      <c r="F117" s="37">
        <v>0</v>
      </c>
      <c r="G117" s="37">
        <v>0</v>
      </c>
      <c r="H117" s="2">
        <f t="shared" si="2"/>
        <v>0</v>
      </c>
      <c r="I117" s="54">
        <f t="shared" si="3"/>
        <v>0</v>
      </c>
      <c r="J117" s="38"/>
      <c r="K117" s="14"/>
    </row>
    <row r="118" spans="2:11" s="8" customFormat="1" ht="18" hidden="1">
      <c r="B118" s="19">
        <v>19</v>
      </c>
      <c r="C118" s="78" t="s">
        <v>25</v>
      </c>
      <c r="D118" s="20">
        <f>D119+D120+D121+D122+D123</f>
        <v>11524978</v>
      </c>
      <c r="E118" s="20">
        <f>E119+E120+E121+E122+E123</f>
        <v>1857601.18</v>
      </c>
      <c r="F118" s="20">
        <f>F119+F120+F121+F122+F123</f>
        <v>55813.03</v>
      </c>
      <c r="G118" s="20">
        <f>G119+G120+G121+G122+G123</f>
        <v>3248</v>
      </c>
      <c r="H118" s="20">
        <f>H119+H120+H121+H122+H123</f>
        <v>1916662.21</v>
      </c>
      <c r="I118" s="43">
        <f t="shared" si="3"/>
        <v>16.6305064530275</v>
      </c>
      <c r="J118" s="72" t="s">
        <v>25</v>
      </c>
      <c r="K118" s="14"/>
    </row>
    <row r="119" spans="2:11" ht="18" hidden="1">
      <c r="B119" s="21" t="s">
        <v>18</v>
      </c>
      <c r="C119" s="40" t="s">
        <v>44</v>
      </c>
      <c r="D119" s="37">
        <v>6788879</v>
      </c>
      <c r="E119" s="37">
        <v>1698448.17</v>
      </c>
      <c r="F119" s="37">
        <v>6540</v>
      </c>
      <c r="G119" s="37"/>
      <c r="H119" s="2">
        <f t="shared" si="2"/>
        <v>1704988.17</v>
      </c>
      <c r="I119" s="54">
        <f t="shared" si="3"/>
        <v>25.114428611851825</v>
      </c>
      <c r="J119" s="29"/>
      <c r="K119" s="15"/>
    </row>
    <row r="120" spans="2:11" ht="18" hidden="1">
      <c r="B120" s="30" t="s">
        <v>19</v>
      </c>
      <c r="C120" s="40" t="s">
        <v>45</v>
      </c>
      <c r="D120" s="37">
        <v>1049674</v>
      </c>
      <c r="E120" s="37">
        <v>81370.04</v>
      </c>
      <c r="F120" s="37">
        <v>29267.08</v>
      </c>
      <c r="G120" s="37">
        <v>3248</v>
      </c>
      <c r="H120" s="2">
        <f t="shared" si="2"/>
        <v>113885.12</v>
      </c>
      <c r="I120" s="54">
        <f t="shared" si="3"/>
        <v>10.849570438059816</v>
      </c>
      <c r="J120" s="38"/>
      <c r="K120" s="14"/>
    </row>
    <row r="121" spans="2:11" ht="18" hidden="1">
      <c r="B121" s="30" t="s">
        <v>20</v>
      </c>
      <c r="C121" s="40" t="s">
        <v>46</v>
      </c>
      <c r="D121" s="37">
        <v>371222</v>
      </c>
      <c r="E121" s="37">
        <v>50269.97</v>
      </c>
      <c r="F121" s="37">
        <v>1842.07</v>
      </c>
      <c r="G121" s="37"/>
      <c r="H121" s="2">
        <f t="shared" si="2"/>
        <v>52112.04</v>
      </c>
      <c r="I121" s="54">
        <f t="shared" si="3"/>
        <v>14.037971887442016</v>
      </c>
      <c r="J121" s="38"/>
      <c r="K121" s="14"/>
    </row>
    <row r="122" spans="2:11" ht="18" hidden="1">
      <c r="B122" s="30" t="s">
        <v>21</v>
      </c>
      <c r="C122" s="40" t="s">
        <v>47</v>
      </c>
      <c r="D122" s="37">
        <v>211054</v>
      </c>
      <c r="E122" s="37">
        <v>8200</v>
      </c>
      <c r="F122" s="37">
        <v>18163.88</v>
      </c>
      <c r="G122" s="37"/>
      <c r="H122" s="2">
        <f t="shared" si="2"/>
        <v>26363.88</v>
      </c>
      <c r="I122" s="54">
        <f t="shared" si="3"/>
        <v>12.491532972604167</v>
      </c>
      <c r="J122" s="38"/>
      <c r="K122" s="14"/>
    </row>
    <row r="123" spans="2:11" ht="18" hidden="1">
      <c r="B123" s="30" t="s">
        <v>22</v>
      </c>
      <c r="C123" s="40" t="s">
        <v>48</v>
      </c>
      <c r="D123" s="37">
        <v>3104149</v>
      </c>
      <c r="E123" s="37">
        <v>19313</v>
      </c>
      <c r="F123" s="37"/>
      <c r="G123" s="37"/>
      <c r="H123" s="2">
        <f t="shared" si="2"/>
        <v>19313</v>
      </c>
      <c r="I123" s="54">
        <f t="shared" si="3"/>
        <v>0.6221672993145626</v>
      </c>
      <c r="J123" s="38"/>
      <c r="K123" s="14"/>
    </row>
    <row r="124" spans="2:11" s="8" customFormat="1" ht="18" hidden="1">
      <c r="B124" s="19">
        <v>20</v>
      </c>
      <c r="C124" s="78" t="s">
        <v>11</v>
      </c>
      <c r="D124" s="20">
        <f>D125+D126+D127+D128+D129</f>
        <v>6185016</v>
      </c>
      <c r="E124" s="25">
        <f>E125+E126+E127+E128+E129</f>
        <v>1150206.74</v>
      </c>
      <c r="F124" s="25">
        <f>F125+F126+F127+F128+F129</f>
        <v>48696.77</v>
      </c>
      <c r="G124" s="25">
        <f>G125+G126+G127+G128+G129</f>
        <v>94762.92</v>
      </c>
      <c r="H124" s="25">
        <f>H125+H126+H127+H128+H129</f>
        <v>1293666.43</v>
      </c>
      <c r="I124" s="43">
        <f t="shared" si="3"/>
        <v>20.916137161164983</v>
      </c>
      <c r="J124" s="72" t="s">
        <v>11</v>
      </c>
      <c r="K124" s="14"/>
    </row>
    <row r="125" spans="2:11" ht="18" hidden="1">
      <c r="B125" s="21" t="s">
        <v>18</v>
      </c>
      <c r="C125" s="40" t="s">
        <v>44</v>
      </c>
      <c r="D125" s="37">
        <v>3838652</v>
      </c>
      <c r="E125" s="37">
        <v>994222.6</v>
      </c>
      <c r="F125" s="37"/>
      <c r="G125" s="37"/>
      <c r="H125" s="2">
        <f t="shared" si="2"/>
        <v>994222.6</v>
      </c>
      <c r="I125" s="54">
        <f t="shared" si="3"/>
        <v>25.90030562812154</v>
      </c>
      <c r="J125" s="38"/>
      <c r="K125" s="15"/>
    </row>
    <row r="126" spans="2:11" ht="18" hidden="1">
      <c r="B126" s="21" t="s">
        <v>19</v>
      </c>
      <c r="C126" s="40" t="s">
        <v>45</v>
      </c>
      <c r="D126" s="37">
        <v>579890</v>
      </c>
      <c r="E126" s="37">
        <v>131363.53</v>
      </c>
      <c r="F126" s="37">
        <v>1810.52</v>
      </c>
      <c r="G126" s="37"/>
      <c r="H126" s="2">
        <f t="shared" si="2"/>
        <v>133174.05</v>
      </c>
      <c r="I126" s="54">
        <f t="shared" si="3"/>
        <v>22.96539861008122</v>
      </c>
      <c r="J126" s="38"/>
      <c r="K126" s="14"/>
    </row>
    <row r="127" spans="2:11" ht="18" hidden="1">
      <c r="B127" s="21" t="s">
        <v>20</v>
      </c>
      <c r="C127" s="40" t="s">
        <v>46</v>
      </c>
      <c r="D127" s="37">
        <v>134400</v>
      </c>
      <c r="E127" s="37">
        <v>23820.61</v>
      </c>
      <c r="F127" s="37"/>
      <c r="G127" s="37"/>
      <c r="H127" s="2">
        <f t="shared" si="2"/>
        <v>23820.61</v>
      </c>
      <c r="I127" s="54">
        <f t="shared" si="3"/>
        <v>17.723668154761903</v>
      </c>
      <c r="J127" s="38"/>
      <c r="K127" s="14"/>
    </row>
    <row r="128" spans="2:11" ht="18" hidden="1">
      <c r="B128" s="21" t="s">
        <v>21</v>
      </c>
      <c r="C128" s="40" t="s">
        <v>47</v>
      </c>
      <c r="D128" s="37">
        <v>100000</v>
      </c>
      <c r="E128" s="37"/>
      <c r="F128" s="37">
        <v>886.25</v>
      </c>
      <c r="G128" s="37">
        <v>3200</v>
      </c>
      <c r="H128" s="2">
        <f t="shared" si="2"/>
        <v>4086.25</v>
      </c>
      <c r="I128" s="54">
        <f t="shared" si="3"/>
        <v>4.086250000000001</v>
      </c>
      <c r="J128" s="38"/>
      <c r="K128" s="14"/>
    </row>
    <row r="129" spans="2:11" ht="18" hidden="1">
      <c r="B129" s="21" t="s">
        <v>22</v>
      </c>
      <c r="C129" s="40" t="s">
        <v>48</v>
      </c>
      <c r="D129" s="37">
        <v>1532074</v>
      </c>
      <c r="E129" s="37">
        <v>800</v>
      </c>
      <c r="F129" s="37">
        <v>46000</v>
      </c>
      <c r="G129" s="37">
        <v>91562.92</v>
      </c>
      <c r="H129" s="2">
        <f t="shared" si="2"/>
        <v>138362.91999999998</v>
      </c>
      <c r="I129" s="54">
        <f t="shared" si="3"/>
        <v>9.031085965821493</v>
      </c>
      <c r="J129" s="38"/>
      <c r="K129" s="14"/>
    </row>
    <row r="130" spans="2:11" s="8" customFormat="1" ht="18" hidden="1">
      <c r="B130" s="19">
        <v>21</v>
      </c>
      <c r="C130" s="78" t="s">
        <v>12</v>
      </c>
      <c r="D130" s="20">
        <f>D131+D132+D133+D134+D135</f>
        <v>8110857</v>
      </c>
      <c r="E130" s="20">
        <f>E131+E132+E133+E134+E135</f>
        <v>1308311.93</v>
      </c>
      <c r="F130" s="20">
        <f>F131+F132+F133+F134+F135</f>
        <v>22576.9</v>
      </c>
      <c r="G130" s="20">
        <f>G131+G132+G133+G134+G135</f>
        <v>0</v>
      </c>
      <c r="H130" s="20">
        <f>H131+H132+H133+H134+H135</f>
        <v>1330888.8299999998</v>
      </c>
      <c r="I130" s="43">
        <f t="shared" si="3"/>
        <v>16.40873251741462</v>
      </c>
      <c r="J130" s="72" t="s">
        <v>12</v>
      </c>
      <c r="K130" s="14"/>
    </row>
    <row r="131" spans="2:11" ht="18" hidden="1">
      <c r="B131" s="21" t="s">
        <v>18</v>
      </c>
      <c r="C131" s="40" t="s">
        <v>44</v>
      </c>
      <c r="D131" s="37">
        <v>4672929</v>
      </c>
      <c r="E131" s="37">
        <v>1172410.53</v>
      </c>
      <c r="F131" s="37"/>
      <c r="G131" s="37"/>
      <c r="H131" s="2">
        <f t="shared" si="2"/>
        <v>1172410.53</v>
      </c>
      <c r="I131" s="54">
        <f t="shared" si="3"/>
        <v>25.08941458344435</v>
      </c>
      <c r="J131" s="38"/>
      <c r="K131" s="15"/>
    </row>
    <row r="132" spans="2:11" ht="18" hidden="1">
      <c r="B132" s="21" t="s">
        <v>19</v>
      </c>
      <c r="C132" s="40" t="s">
        <v>45</v>
      </c>
      <c r="D132" s="37">
        <v>937702</v>
      </c>
      <c r="E132" s="37">
        <v>96061.42</v>
      </c>
      <c r="F132" s="37"/>
      <c r="G132" s="37"/>
      <c r="H132" s="2">
        <f t="shared" si="2"/>
        <v>96061.42</v>
      </c>
      <c r="I132" s="54">
        <f t="shared" si="3"/>
        <v>10.244344151980053</v>
      </c>
      <c r="J132" s="38"/>
      <c r="K132" s="15"/>
    </row>
    <row r="133" spans="2:11" ht="18" hidden="1">
      <c r="B133" s="21" t="s">
        <v>20</v>
      </c>
      <c r="C133" s="40" t="s">
        <v>46</v>
      </c>
      <c r="D133" s="37">
        <v>201578</v>
      </c>
      <c r="E133" s="37">
        <v>39839.98</v>
      </c>
      <c r="F133" s="37"/>
      <c r="G133" s="37"/>
      <c r="H133" s="2">
        <f t="shared" si="2"/>
        <v>39839.98</v>
      </c>
      <c r="I133" s="54">
        <f t="shared" si="3"/>
        <v>19.76405163261864</v>
      </c>
      <c r="J133" s="38"/>
      <c r="K133" s="14"/>
    </row>
    <row r="134" spans="2:11" ht="18" hidden="1">
      <c r="B134" s="21" t="s">
        <v>21</v>
      </c>
      <c r="C134" s="40" t="s">
        <v>47</v>
      </c>
      <c r="D134" s="37">
        <v>80000</v>
      </c>
      <c r="E134" s="37"/>
      <c r="F134" s="37">
        <v>22576.9</v>
      </c>
      <c r="G134" s="37"/>
      <c r="H134" s="2">
        <f t="shared" si="2"/>
        <v>22576.9</v>
      </c>
      <c r="I134" s="54">
        <f t="shared" si="3"/>
        <v>28.221125</v>
      </c>
      <c r="J134" s="38"/>
      <c r="K134" s="14"/>
    </row>
    <row r="135" spans="2:11" ht="18" hidden="1">
      <c r="B135" s="21" t="s">
        <v>22</v>
      </c>
      <c r="C135" s="40" t="s">
        <v>48</v>
      </c>
      <c r="D135" s="37">
        <v>2218648</v>
      </c>
      <c r="E135" s="37"/>
      <c r="F135" s="37"/>
      <c r="G135" s="37"/>
      <c r="H135" s="2">
        <f t="shared" si="2"/>
        <v>0</v>
      </c>
      <c r="I135" s="54">
        <f t="shared" si="3"/>
        <v>0</v>
      </c>
      <c r="J135" s="38"/>
      <c r="K135" s="14"/>
    </row>
    <row r="136" spans="2:11" s="8" customFormat="1" ht="18" hidden="1">
      <c r="B136" s="19">
        <v>22</v>
      </c>
      <c r="C136" s="78" t="s">
        <v>13</v>
      </c>
      <c r="D136" s="20">
        <f>D137+D138+D139+D140+D141</f>
        <v>1496204</v>
      </c>
      <c r="E136" s="20">
        <f>E137+E138+E139+E140+E141</f>
        <v>196990.66</v>
      </c>
      <c r="F136" s="20">
        <f>F137+F138+F139+F140+F141</f>
        <v>0</v>
      </c>
      <c r="G136" s="20">
        <f>G137+G138+G139+G140+G141</f>
        <v>0</v>
      </c>
      <c r="H136" s="20">
        <f>H137+H138+H139+H140+H141</f>
        <v>196990.66</v>
      </c>
      <c r="I136" s="43">
        <f t="shared" si="3"/>
        <v>13.166029498651255</v>
      </c>
      <c r="J136" s="72" t="s">
        <v>13</v>
      </c>
      <c r="K136" s="14"/>
    </row>
    <row r="137" spans="2:11" ht="18" hidden="1">
      <c r="B137" s="21" t="s">
        <v>18</v>
      </c>
      <c r="C137" s="40" t="s">
        <v>44</v>
      </c>
      <c r="D137" s="37">
        <v>921538</v>
      </c>
      <c r="E137" s="37">
        <v>192185.66</v>
      </c>
      <c r="F137" s="37">
        <v>0</v>
      </c>
      <c r="G137" s="37"/>
      <c r="H137" s="2">
        <f t="shared" si="2"/>
        <v>192185.66</v>
      </c>
      <c r="I137" s="54">
        <f t="shared" si="3"/>
        <v>20.85488173032474</v>
      </c>
      <c r="J137" s="38"/>
      <c r="K137" s="14"/>
    </row>
    <row r="138" spans="2:11" ht="18" hidden="1">
      <c r="B138" s="21" t="s">
        <v>19</v>
      </c>
      <c r="C138" s="40" t="s">
        <v>45</v>
      </c>
      <c r="D138" s="37">
        <v>82928</v>
      </c>
      <c r="E138" s="37">
        <v>4805</v>
      </c>
      <c r="F138" s="37">
        <v>0</v>
      </c>
      <c r="G138" s="37"/>
      <c r="H138" s="2">
        <f aca="true" t="shared" si="4" ref="H138:H201">E138+F138+G138</f>
        <v>4805</v>
      </c>
      <c r="I138" s="54">
        <f t="shared" si="3"/>
        <v>5.794182905653097</v>
      </c>
      <c r="J138" s="38"/>
      <c r="K138" s="14"/>
    </row>
    <row r="139" spans="2:11" ht="18" hidden="1">
      <c r="B139" s="21" t="s">
        <v>20</v>
      </c>
      <c r="C139" s="40" t="s">
        <v>46</v>
      </c>
      <c r="D139" s="37">
        <v>3000</v>
      </c>
      <c r="E139" s="37"/>
      <c r="F139" s="37">
        <v>0</v>
      </c>
      <c r="G139" s="37"/>
      <c r="H139" s="2">
        <f t="shared" si="4"/>
        <v>0</v>
      </c>
      <c r="I139" s="54">
        <f aca="true" t="shared" si="5" ref="I139:I145">H139/D139*100</f>
        <v>0</v>
      </c>
      <c r="J139" s="38"/>
      <c r="K139" s="14"/>
    </row>
    <row r="140" spans="2:11" ht="18" hidden="1">
      <c r="B140" s="21" t="s">
        <v>21</v>
      </c>
      <c r="C140" s="40" t="s">
        <v>47</v>
      </c>
      <c r="D140" s="37">
        <f>4800</f>
        <v>4800</v>
      </c>
      <c r="E140" s="37"/>
      <c r="F140" s="37">
        <v>0</v>
      </c>
      <c r="G140" s="37"/>
      <c r="H140" s="2">
        <f t="shared" si="4"/>
        <v>0</v>
      </c>
      <c r="I140" s="54">
        <f t="shared" si="5"/>
        <v>0</v>
      </c>
      <c r="J140" s="38"/>
      <c r="K140" s="14"/>
    </row>
    <row r="141" spans="2:11" ht="18" hidden="1">
      <c r="B141" s="21" t="s">
        <v>22</v>
      </c>
      <c r="C141" s="40" t="s">
        <v>48</v>
      </c>
      <c r="D141" s="37">
        <v>483938</v>
      </c>
      <c r="E141" s="37"/>
      <c r="F141" s="37">
        <v>0</v>
      </c>
      <c r="G141" s="37"/>
      <c r="H141" s="2">
        <f t="shared" si="4"/>
        <v>0</v>
      </c>
      <c r="I141" s="54">
        <f t="shared" si="5"/>
        <v>0</v>
      </c>
      <c r="J141" s="38"/>
      <c r="K141" s="14"/>
    </row>
    <row r="142" spans="2:11" s="8" customFormat="1" ht="18" hidden="1">
      <c r="B142" s="19">
        <v>23</v>
      </c>
      <c r="C142" s="78" t="s">
        <v>35</v>
      </c>
      <c r="D142" s="20">
        <f>D143+D144+D145+D146+D147</f>
        <v>1399220</v>
      </c>
      <c r="E142" s="20">
        <f>E143+E144+E145+E146+E147</f>
        <v>140081.52000000002</v>
      </c>
      <c r="F142" s="20">
        <f>F143+F144+F145+F146+F147</f>
        <v>0</v>
      </c>
      <c r="G142" s="20">
        <f>G143+G144+G145+G146+G147</f>
        <v>0</v>
      </c>
      <c r="H142" s="20">
        <f>H143+H144+H145+H146+H147</f>
        <v>140081.52000000002</v>
      </c>
      <c r="I142" s="43">
        <f t="shared" si="5"/>
        <v>10.011400637498035</v>
      </c>
      <c r="J142" s="72" t="s">
        <v>35</v>
      </c>
      <c r="K142" s="14"/>
    </row>
    <row r="143" spans="2:11" ht="18" hidden="1">
      <c r="B143" s="21" t="s">
        <v>18</v>
      </c>
      <c r="C143" s="40" t="s">
        <v>44</v>
      </c>
      <c r="D143" s="37">
        <v>652112</v>
      </c>
      <c r="E143" s="37">
        <v>139509.6</v>
      </c>
      <c r="F143" s="37">
        <v>0</v>
      </c>
      <c r="G143" s="37">
        <v>0</v>
      </c>
      <c r="H143" s="2">
        <f t="shared" si="4"/>
        <v>139509.6</v>
      </c>
      <c r="I143" s="54">
        <f t="shared" si="5"/>
        <v>21.39350295654734</v>
      </c>
      <c r="J143" s="24"/>
      <c r="K143" s="15"/>
    </row>
    <row r="144" spans="2:11" ht="18" hidden="1">
      <c r="B144" s="21" t="s">
        <v>19</v>
      </c>
      <c r="C144" s="40" t="s">
        <v>45</v>
      </c>
      <c r="D144" s="37">
        <v>140951</v>
      </c>
      <c r="E144" s="37">
        <v>571.92</v>
      </c>
      <c r="F144" s="37">
        <v>0</v>
      </c>
      <c r="G144" s="37">
        <v>0</v>
      </c>
      <c r="H144" s="2">
        <f t="shared" si="4"/>
        <v>571.92</v>
      </c>
      <c r="I144" s="54">
        <f t="shared" si="5"/>
        <v>0.4057580293860987</v>
      </c>
      <c r="J144" s="24"/>
      <c r="K144" s="14"/>
    </row>
    <row r="145" spans="2:11" ht="18" hidden="1">
      <c r="B145" s="21" t="s">
        <v>20</v>
      </c>
      <c r="C145" s="40" t="s">
        <v>46</v>
      </c>
      <c r="D145" s="37">
        <v>83800</v>
      </c>
      <c r="E145" s="37"/>
      <c r="F145" s="37">
        <v>0</v>
      </c>
      <c r="G145" s="37">
        <v>0</v>
      </c>
      <c r="H145" s="2">
        <f t="shared" si="4"/>
        <v>0</v>
      </c>
      <c r="I145" s="54">
        <f t="shared" si="5"/>
        <v>0</v>
      </c>
      <c r="J145" s="24"/>
      <c r="K145" s="14"/>
    </row>
    <row r="146" spans="2:11" ht="18" hidden="1">
      <c r="B146" s="21" t="s">
        <v>21</v>
      </c>
      <c r="C146" s="40" t="s">
        <v>47</v>
      </c>
      <c r="D146" s="37">
        <v>0</v>
      </c>
      <c r="E146" s="37"/>
      <c r="F146" s="37">
        <v>0</v>
      </c>
      <c r="G146" s="37">
        <v>0</v>
      </c>
      <c r="H146" s="2">
        <f t="shared" si="4"/>
        <v>0</v>
      </c>
      <c r="I146" s="54">
        <v>0</v>
      </c>
      <c r="J146" s="24"/>
      <c r="K146" s="14"/>
    </row>
    <row r="147" spans="2:12" ht="18" hidden="1">
      <c r="B147" s="21" t="s">
        <v>22</v>
      </c>
      <c r="C147" s="40" t="s">
        <v>48</v>
      </c>
      <c r="D147" s="37">
        <v>522357</v>
      </c>
      <c r="E147" s="37"/>
      <c r="F147" s="37">
        <v>0</v>
      </c>
      <c r="G147" s="37">
        <v>0</v>
      </c>
      <c r="H147" s="2">
        <f t="shared" si="4"/>
        <v>0</v>
      </c>
      <c r="I147" s="54">
        <f aca="true" t="shared" si="6" ref="I147:I169">H147/D147*100</f>
        <v>0</v>
      </c>
      <c r="J147" s="24"/>
      <c r="K147" s="16"/>
      <c r="L147" s="11"/>
    </row>
    <row r="148" spans="2:12" s="8" customFormat="1" ht="18" hidden="1">
      <c r="B148" s="19">
        <v>24</v>
      </c>
      <c r="C148" s="78" t="s">
        <v>14</v>
      </c>
      <c r="D148" s="20">
        <f>D149+D150+D151+D152+D153</f>
        <v>13694278</v>
      </c>
      <c r="E148" s="20">
        <f>E149+E150+E151+E152+E153</f>
        <v>2425090.96</v>
      </c>
      <c r="F148" s="20">
        <f>F149+F150+F151+F152+F153</f>
        <v>159281.39</v>
      </c>
      <c r="G148" s="20">
        <f>G149+G150+G151+G152+G153</f>
        <v>125840.22</v>
      </c>
      <c r="H148" s="20">
        <f>H149+H150+H151+H152+H153</f>
        <v>2710212.5700000003</v>
      </c>
      <c r="I148" s="43">
        <f t="shared" si="6"/>
        <v>19.79083942943177</v>
      </c>
      <c r="J148" s="72" t="s">
        <v>14</v>
      </c>
      <c r="K148" s="17"/>
      <c r="L148" s="12"/>
    </row>
    <row r="149" spans="2:11" ht="18" hidden="1">
      <c r="B149" s="21" t="s">
        <v>18</v>
      </c>
      <c r="C149" s="40" t="s">
        <v>44</v>
      </c>
      <c r="D149" s="37">
        <v>8226410</v>
      </c>
      <c r="E149" s="37">
        <v>1961237.14</v>
      </c>
      <c r="F149" s="37">
        <v>30351.04</v>
      </c>
      <c r="G149" s="37"/>
      <c r="H149" s="2">
        <f t="shared" si="4"/>
        <v>1991588.18</v>
      </c>
      <c r="I149" s="54">
        <f t="shared" si="6"/>
        <v>24.2096878225131</v>
      </c>
      <c r="J149" s="24"/>
      <c r="K149" s="15"/>
    </row>
    <row r="150" spans="2:11" ht="18" hidden="1">
      <c r="B150" s="21" t="s">
        <v>19</v>
      </c>
      <c r="C150" s="40" t="s">
        <v>45</v>
      </c>
      <c r="D150" s="37">
        <v>1782346</v>
      </c>
      <c r="E150" s="37">
        <v>250203.7</v>
      </c>
      <c r="F150" s="37">
        <v>71995.35</v>
      </c>
      <c r="G150" s="37">
        <v>87500.22</v>
      </c>
      <c r="H150" s="2">
        <f t="shared" si="4"/>
        <v>409699.27</v>
      </c>
      <c r="I150" s="54">
        <f t="shared" si="6"/>
        <v>22.98651720821883</v>
      </c>
      <c r="J150" s="24"/>
      <c r="K150" s="15"/>
    </row>
    <row r="151" spans="2:11" ht="18" hidden="1">
      <c r="B151" s="21" t="s">
        <v>20</v>
      </c>
      <c r="C151" s="40" t="s">
        <v>46</v>
      </c>
      <c r="D151" s="37">
        <v>344400</v>
      </c>
      <c r="E151" s="37">
        <v>74453.92</v>
      </c>
      <c r="F151" s="37"/>
      <c r="G151" s="37"/>
      <c r="H151" s="2">
        <f t="shared" si="4"/>
        <v>74453.92</v>
      </c>
      <c r="I151" s="54">
        <f t="shared" si="6"/>
        <v>21.618443670150985</v>
      </c>
      <c r="J151" s="24"/>
      <c r="K151" s="14"/>
    </row>
    <row r="152" spans="2:11" ht="18" hidden="1">
      <c r="B152" s="21" t="s">
        <v>21</v>
      </c>
      <c r="C152" s="40" t="s">
        <v>47</v>
      </c>
      <c r="D152" s="37">
        <v>119000</v>
      </c>
      <c r="E152" s="37"/>
      <c r="F152" s="37">
        <v>52000</v>
      </c>
      <c r="G152" s="37">
        <v>38340</v>
      </c>
      <c r="H152" s="2">
        <f t="shared" si="4"/>
        <v>90340</v>
      </c>
      <c r="I152" s="54">
        <f t="shared" si="6"/>
        <v>75.91596638655463</v>
      </c>
      <c r="J152" s="24"/>
      <c r="K152" s="15"/>
    </row>
    <row r="153" spans="2:11" ht="18" hidden="1">
      <c r="B153" s="21" t="s">
        <v>22</v>
      </c>
      <c r="C153" s="40" t="s">
        <v>48</v>
      </c>
      <c r="D153" s="37">
        <v>3222122</v>
      </c>
      <c r="E153" s="37">
        <v>139196.2</v>
      </c>
      <c r="F153" s="37">
        <v>4935</v>
      </c>
      <c r="G153" s="37"/>
      <c r="H153" s="2">
        <f t="shared" si="4"/>
        <v>144131.2</v>
      </c>
      <c r="I153" s="54">
        <f t="shared" si="6"/>
        <v>4.473176372589244</v>
      </c>
      <c r="J153" s="24"/>
      <c r="K153" s="14"/>
    </row>
    <row r="154" spans="2:11" s="8" customFormat="1" ht="18" hidden="1">
      <c r="B154" s="19">
        <v>25</v>
      </c>
      <c r="C154" s="78" t="s">
        <v>15</v>
      </c>
      <c r="D154" s="20">
        <f>D155+D156+D157+D158+D159</f>
        <v>3640359</v>
      </c>
      <c r="E154" s="20">
        <f>E155+E156+E157+E158+E159</f>
        <v>646616.08</v>
      </c>
      <c r="F154" s="20">
        <f>F155+F156+F157+F158+F159</f>
        <v>10580</v>
      </c>
      <c r="G154" s="20">
        <f>G155+G156+G157+G158+G159</f>
        <v>1311.32</v>
      </c>
      <c r="H154" s="20">
        <f>H155+H156+H157+H158+H159</f>
        <v>658507.4</v>
      </c>
      <c r="I154" s="43">
        <f t="shared" si="6"/>
        <v>18.089078577140334</v>
      </c>
      <c r="J154" s="72" t="s">
        <v>15</v>
      </c>
      <c r="K154" s="15"/>
    </row>
    <row r="155" spans="2:11" ht="18" hidden="1">
      <c r="B155" s="21" t="s">
        <v>18</v>
      </c>
      <c r="C155" s="40" t="s">
        <v>44</v>
      </c>
      <c r="D155" s="37">
        <v>2431272</v>
      </c>
      <c r="E155" s="37">
        <v>605998.51</v>
      </c>
      <c r="F155" s="37"/>
      <c r="G155" s="37"/>
      <c r="H155" s="2">
        <f t="shared" si="4"/>
        <v>605998.51</v>
      </c>
      <c r="I155" s="54">
        <f t="shared" si="6"/>
        <v>24.925163042226455</v>
      </c>
      <c r="J155" s="24"/>
      <c r="K155" s="15"/>
    </row>
    <row r="156" spans="2:11" ht="18" hidden="1">
      <c r="B156" s="21" t="s">
        <v>19</v>
      </c>
      <c r="C156" s="40" t="s">
        <v>45</v>
      </c>
      <c r="D156" s="37">
        <v>355267</v>
      </c>
      <c r="E156" s="37">
        <v>30169.47</v>
      </c>
      <c r="F156" s="37"/>
      <c r="G156" s="37"/>
      <c r="H156" s="2">
        <f t="shared" si="4"/>
        <v>30169.47</v>
      </c>
      <c r="I156" s="54">
        <f t="shared" si="6"/>
        <v>8.492055271105956</v>
      </c>
      <c r="J156" s="24"/>
      <c r="K156" s="14"/>
    </row>
    <row r="157" spans="2:11" ht="18" hidden="1">
      <c r="B157" s="21" t="s">
        <v>20</v>
      </c>
      <c r="C157" s="40" t="s">
        <v>46</v>
      </c>
      <c r="D157" s="37">
        <v>77500</v>
      </c>
      <c r="E157" s="37">
        <v>10448.1</v>
      </c>
      <c r="F157" s="37"/>
      <c r="G157" s="37">
        <v>1311.32</v>
      </c>
      <c r="H157" s="2">
        <f t="shared" si="4"/>
        <v>11759.42</v>
      </c>
      <c r="I157" s="54">
        <f t="shared" si="6"/>
        <v>15.173445161290323</v>
      </c>
      <c r="J157" s="24"/>
      <c r="K157" s="14"/>
    </row>
    <row r="158" spans="2:11" ht="18" hidden="1">
      <c r="B158" s="21" t="s">
        <v>21</v>
      </c>
      <c r="C158" s="40" t="s">
        <v>47</v>
      </c>
      <c r="D158" s="37">
        <v>41000</v>
      </c>
      <c r="E158" s="37"/>
      <c r="F158" s="37">
        <v>10580</v>
      </c>
      <c r="G158" s="37"/>
      <c r="H158" s="2">
        <f t="shared" si="4"/>
        <v>10580</v>
      </c>
      <c r="I158" s="54">
        <f t="shared" si="6"/>
        <v>25.804878048780488</v>
      </c>
      <c r="J158" s="24"/>
      <c r="K158" s="14"/>
    </row>
    <row r="159" spans="2:11" ht="18" hidden="1">
      <c r="B159" s="21" t="s">
        <v>22</v>
      </c>
      <c r="C159" s="40" t="s">
        <v>48</v>
      </c>
      <c r="D159" s="37">
        <v>735320</v>
      </c>
      <c r="E159" s="37"/>
      <c r="F159" s="37"/>
      <c r="G159" s="37"/>
      <c r="H159" s="2">
        <f t="shared" si="4"/>
        <v>0</v>
      </c>
      <c r="I159" s="54">
        <f t="shared" si="6"/>
        <v>0</v>
      </c>
      <c r="J159" s="24"/>
      <c r="K159" s="14"/>
    </row>
    <row r="160" spans="2:11" s="8" customFormat="1" ht="18" hidden="1">
      <c r="B160" s="19">
        <v>26</v>
      </c>
      <c r="C160" s="78" t="s">
        <v>24</v>
      </c>
      <c r="D160" s="20">
        <f>D161+D162+D163+D164+D165</f>
        <v>5802394</v>
      </c>
      <c r="E160" s="20">
        <f>E161+E162+E163+E164+E165</f>
        <v>1029869.3400000001</v>
      </c>
      <c r="F160" s="20">
        <f>F161+F162+F163+F164+F165</f>
        <v>47976.369999999995</v>
      </c>
      <c r="G160" s="20">
        <f>G161+G162+G163+G164+G165</f>
        <v>60214.67</v>
      </c>
      <c r="H160" s="20">
        <f>H161+H162+H163+H164+H165</f>
        <v>1138060.38</v>
      </c>
      <c r="I160" s="43">
        <f t="shared" si="6"/>
        <v>19.613634992728862</v>
      </c>
      <c r="J160" s="72" t="s">
        <v>24</v>
      </c>
      <c r="K160" s="15"/>
    </row>
    <row r="161" spans="2:11" ht="18" hidden="1">
      <c r="B161" s="21" t="s">
        <v>18</v>
      </c>
      <c r="C161" s="40" t="s">
        <v>44</v>
      </c>
      <c r="D161" s="37">
        <v>3910447</v>
      </c>
      <c r="E161" s="37">
        <v>956564.93</v>
      </c>
      <c r="F161" s="37">
        <v>8600.96</v>
      </c>
      <c r="G161" s="37"/>
      <c r="H161" s="2">
        <f t="shared" si="4"/>
        <v>965165.89</v>
      </c>
      <c r="I161" s="54">
        <f t="shared" si="6"/>
        <v>24.681727945679867</v>
      </c>
      <c r="J161" s="24"/>
      <c r="K161" s="15"/>
    </row>
    <row r="162" spans="2:11" ht="18" hidden="1">
      <c r="B162" s="21" t="s">
        <v>19</v>
      </c>
      <c r="C162" s="40" t="s">
        <v>45</v>
      </c>
      <c r="D162" s="37">
        <v>642008</v>
      </c>
      <c r="E162" s="37">
        <v>35998.62</v>
      </c>
      <c r="F162" s="37">
        <v>11727.91</v>
      </c>
      <c r="G162" s="37">
        <v>38128.52</v>
      </c>
      <c r="H162" s="2">
        <f t="shared" si="4"/>
        <v>85855.04999999999</v>
      </c>
      <c r="I162" s="54">
        <f t="shared" si="6"/>
        <v>13.372894107238537</v>
      </c>
      <c r="J162" s="24"/>
      <c r="K162" s="14"/>
    </row>
    <row r="163" spans="2:11" ht="18" hidden="1">
      <c r="B163" s="21" t="s">
        <v>20</v>
      </c>
      <c r="C163" s="40" t="s">
        <v>46</v>
      </c>
      <c r="D163" s="37">
        <v>127757</v>
      </c>
      <c r="E163" s="37">
        <v>37305.79</v>
      </c>
      <c r="F163" s="37"/>
      <c r="G163" s="37"/>
      <c r="H163" s="2">
        <f t="shared" si="4"/>
        <v>37305.79</v>
      </c>
      <c r="I163" s="54">
        <f t="shared" si="6"/>
        <v>29.20058392103759</v>
      </c>
      <c r="J163" s="24"/>
      <c r="K163" s="14"/>
    </row>
    <row r="164" spans="2:11" ht="18" hidden="1">
      <c r="B164" s="21" t="s">
        <v>21</v>
      </c>
      <c r="C164" s="40" t="s">
        <v>47</v>
      </c>
      <c r="D164" s="37">
        <v>25000</v>
      </c>
      <c r="E164" s="37"/>
      <c r="F164" s="37">
        <v>5810</v>
      </c>
      <c r="G164" s="37">
        <v>3120</v>
      </c>
      <c r="H164" s="2">
        <f t="shared" si="4"/>
        <v>8930</v>
      </c>
      <c r="I164" s="54">
        <f t="shared" si="6"/>
        <v>35.72</v>
      </c>
      <c r="J164" s="24"/>
      <c r="K164" s="15"/>
    </row>
    <row r="165" spans="2:11" ht="18" hidden="1">
      <c r="B165" s="21" t="s">
        <v>22</v>
      </c>
      <c r="C165" s="40" t="s">
        <v>48</v>
      </c>
      <c r="D165" s="37">
        <v>1097182</v>
      </c>
      <c r="E165" s="37"/>
      <c r="F165" s="37">
        <v>21837.5</v>
      </c>
      <c r="G165" s="37">
        <v>18966.15</v>
      </c>
      <c r="H165" s="2">
        <f t="shared" si="4"/>
        <v>40803.65</v>
      </c>
      <c r="I165" s="54">
        <f t="shared" si="6"/>
        <v>3.7189500010025682</v>
      </c>
      <c r="J165" s="24"/>
      <c r="K165" s="14"/>
    </row>
    <row r="166" spans="2:11" s="8" customFormat="1" ht="18" hidden="1">
      <c r="B166" s="19">
        <v>27</v>
      </c>
      <c r="C166" s="78" t="s">
        <v>36</v>
      </c>
      <c r="D166" s="20">
        <f>D167+D168+D169+D170+D171</f>
        <v>1018739</v>
      </c>
      <c r="E166" s="20">
        <f>E167+E168+E169+E170+E171</f>
        <v>125762.59</v>
      </c>
      <c r="F166" s="20">
        <f>F167+F168+F169+F170+F171</f>
        <v>0</v>
      </c>
      <c r="G166" s="20">
        <f>G167+G168+G169+G170+G171</f>
        <v>0</v>
      </c>
      <c r="H166" s="20">
        <f>H167+H168+H169+H170+H171</f>
        <v>125762.59</v>
      </c>
      <c r="I166" s="43">
        <f t="shared" si="6"/>
        <v>12.344927405351125</v>
      </c>
      <c r="J166" s="72" t="s">
        <v>36</v>
      </c>
      <c r="K166" s="14"/>
    </row>
    <row r="167" spans="2:11" ht="18" hidden="1">
      <c r="B167" s="21" t="s">
        <v>18</v>
      </c>
      <c r="C167" s="40" t="s">
        <v>44</v>
      </c>
      <c r="D167" s="37">
        <v>611104</v>
      </c>
      <c r="E167" s="37">
        <v>111980.62</v>
      </c>
      <c r="F167" s="37"/>
      <c r="G167" s="37"/>
      <c r="H167" s="2">
        <f t="shared" si="4"/>
        <v>111980.62</v>
      </c>
      <c r="I167" s="54">
        <f t="shared" si="6"/>
        <v>18.324314682934492</v>
      </c>
      <c r="J167" s="24"/>
      <c r="K167" s="15"/>
    </row>
    <row r="168" spans="2:11" ht="18" hidden="1">
      <c r="B168" s="21" t="s">
        <v>19</v>
      </c>
      <c r="C168" s="40" t="s">
        <v>45</v>
      </c>
      <c r="D168" s="37">
        <v>68519</v>
      </c>
      <c r="E168" s="37">
        <v>7252.09</v>
      </c>
      <c r="F168" s="37"/>
      <c r="G168" s="37"/>
      <c r="H168" s="2">
        <f t="shared" si="4"/>
        <v>7252.09</v>
      </c>
      <c r="I168" s="54">
        <f t="shared" si="6"/>
        <v>10.58405697689692</v>
      </c>
      <c r="J168" s="24"/>
      <c r="K168" s="14"/>
    </row>
    <row r="169" spans="2:11" ht="18" hidden="1">
      <c r="B169" s="21"/>
      <c r="C169" s="40" t="s">
        <v>46</v>
      </c>
      <c r="D169" s="37">
        <v>25399</v>
      </c>
      <c r="E169" s="37">
        <v>6529.88</v>
      </c>
      <c r="F169" s="37"/>
      <c r="G169" s="37"/>
      <c r="H169" s="2">
        <f t="shared" si="4"/>
        <v>6529.88</v>
      </c>
      <c r="I169" s="54">
        <f t="shared" si="6"/>
        <v>25.709201149651562</v>
      </c>
      <c r="J169" s="24"/>
      <c r="K169" s="14"/>
    </row>
    <row r="170" spans="2:11" ht="18" hidden="1">
      <c r="B170" s="21" t="s">
        <v>21</v>
      </c>
      <c r="C170" s="40" t="s">
        <v>47</v>
      </c>
      <c r="D170" s="37">
        <v>2000</v>
      </c>
      <c r="E170" s="37"/>
      <c r="F170" s="37"/>
      <c r="G170" s="37"/>
      <c r="H170" s="2">
        <f t="shared" si="4"/>
        <v>0</v>
      </c>
      <c r="I170" s="54">
        <v>0</v>
      </c>
      <c r="J170" s="24"/>
      <c r="K170" s="14"/>
    </row>
    <row r="171" spans="2:11" ht="18" hidden="1">
      <c r="B171" s="21" t="s">
        <v>22</v>
      </c>
      <c r="C171" s="40" t="s">
        <v>48</v>
      </c>
      <c r="D171" s="37">
        <v>311717</v>
      </c>
      <c r="E171" s="37"/>
      <c r="F171" s="37"/>
      <c r="G171" s="37"/>
      <c r="H171" s="2">
        <f t="shared" si="4"/>
        <v>0</v>
      </c>
      <c r="I171" s="54">
        <f>H171/D171*100</f>
        <v>0</v>
      </c>
      <c r="J171" s="24"/>
      <c r="K171" s="14"/>
    </row>
    <row r="172" spans="2:11" s="8" customFormat="1" ht="18" hidden="1">
      <c r="B172" s="19">
        <v>28</v>
      </c>
      <c r="C172" s="78" t="s">
        <v>23</v>
      </c>
      <c r="D172" s="20">
        <f>D173+D174+D175+D176+D177</f>
        <v>1643373</v>
      </c>
      <c r="E172" s="20">
        <f>E173+E174+E175+E176+E177</f>
        <v>211363.94</v>
      </c>
      <c r="F172" s="20">
        <f>F173+F174+F175+F176+F177</f>
        <v>0</v>
      </c>
      <c r="G172" s="20">
        <f>G173+G174+G175+G176+G177</f>
        <v>0</v>
      </c>
      <c r="H172" s="20">
        <f>H173+H174+H175+H176+H177</f>
        <v>211363.94</v>
      </c>
      <c r="I172" s="43">
        <f>H172/D172*100</f>
        <v>12.86159259036141</v>
      </c>
      <c r="J172" s="72" t="s">
        <v>23</v>
      </c>
      <c r="K172" s="14"/>
    </row>
    <row r="173" spans="2:11" ht="18" hidden="1">
      <c r="B173" s="21" t="s">
        <v>18</v>
      </c>
      <c r="C173" s="40" t="s">
        <v>44</v>
      </c>
      <c r="D173" s="37">
        <v>923314</v>
      </c>
      <c r="E173" s="37">
        <v>199788.35</v>
      </c>
      <c r="F173" s="37"/>
      <c r="G173" s="37"/>
      <c r="H173" s="2">
        <f t="shared" si="4"/>
        <v>199788.35</v>
      </c>
      <c r="I173" s="54">
        <f>H173/D173*100</f>
        <v>21.63818051063885</v>
      </c>
      <c r="J173" s="24"/>
      <c r="K173" s="15"/>
    </row>
    <row r="174" spans="2:11" ht="18" hidden="1">
      <c r="B174" s="21" t="s">
        <v>19</v>
      </c>
      <c r="C174" s="40" t="s">
        <v>45</v>
      </c>
      <c r="D174" s="37">
        <v>125661</v>
      </c>
      <c r="E174" s="37">
        <v>9712.99</v>
      </c>
      <c r="F174" s="37"/>
      <c r="G174" s="37"/>
      <c r="H174" s="2">
        <f t="shared" si="4"/>
        <v>9712.99</v>
      </c>
      <c r="I174" s="54">
        <f>H174/D174*100</f>
        <v>7.729518307191571</v>
      </c>
      <c r="J174" s="24"/>
      <c r="K174" s="14"/>
    </row>
    <row r="175" spans="2:11" ht="18" hidden="1">
      <c r="B175" s="21" t="s">
        <v>20</v>
      </c>
      <c r="C175" s="40" t="s">
        <v>46</v>
      </c>
      <c r="D175" s="37">
        <f>15751+500+7853+8016</f>
        <v>32120</v>
      </c>
      <c r="E175" s="37">
        <v>1862.6</v>
      </c>
      <c r="F175" s="37"/>
      <c r="G175" s="37"/>
      <c r="H175" s="2">
        <f t="shared" si="4"/>
        <v>1862.6</v>
      </c>
      <c r="I175" s="54">
        <f>H175/D175*100</f>
        <v>5.7988792029887914</v>
      </c>
      <c r="J175" s="24"/>
      <c r="K175" s="14"/>
    </row>
    <row r="176" spans="2:11" ht="18" hidden="1">
      <c r="B176" s="21" t="s">
        <v>21</v>
      </c>
      <c r="C176" s="40" t="s">
        <v>47</v>
      </c>
      <c r="D176" s="37">
        <v>0</v>
      </c>
      <c r="E176" s="37"/>
      <c r="F176" s="37"/>
      <c r="G176" s="37"/>
      <c r="H176" s="2">
        <f t="shared" si="4"/>
        <v>0</v>
      </c>
      <c r="I176" s="54">
        <v>0</v>
      </c>
      <c r="J176" s="24"/>
      <c r="K176" s="14"/>
    </row>
    <row r="177" spans="2:11" ht="18" hidden="1">
      <c r="B177" s="21" t="s">
        <v>22</v>
      </c>
      <c r="C177" s="40" t="s">
        <v>48</v>
      </c>
      <c r="D177" s="37">
        <v>562278</v>
      </c>
      <c r="E177" s="37"/>
      <c r="F177" s="37"/>
      <c r="G177" s="37"/>
      <c r="H177" s="2">
        <f t="shared" si="4"/>
        <v>0</v>
      </c>
      <c r="I177" s="54">
        <f aca="true" t="shared" si="7" ref="I177:I199">H177/D177*100</f>
        <v>0</v>
      </c>
      <c r="J177" s="24"/>
      <c r="K177" s="14"/>
    </row>
    <row r="178" spans="2:11" s="8" customFormat="1" ht="18" hidden="1">
      <c r="B178" s="19">
        <v>29</v>
      </c>
      <c r="C178" s="78" t="s">
        <v>16</v>
      </c>
      <c r="D178" s="20">
        <f>D179+D180+D181+D182+D183</f>
        <v>13025504</v>
      </c>
      <c r="E178" s="20">
        <f>E179+E180+E181+E182+E183</f>
        <v>2013063.38</v>
      </c>
      <c r="F178" s="20">
        <f>F179+F180+F181+F182+F183</f>
        <v>111030.43</v>
      </c>
      <c r="G178" s="20">
        <f>G179+G180+G181+G182+G183</f>
        <v>0</v>
      </c>
      <c r="H178" s="20">
        <f>H179+H180+H181+H182+H183</f>
        <v>2124093.81</v>
      </c>
      <c r="I178" s="43">
        <f t="shared" si="7"/>
        <v>16.30719095399303</v>
      </c>
      <c r="J178" s="72" t="s">
        <v>16</v>
      </c>
      <c r="K178" s="14"/>
    </row>
    <row r="179" spans="2:11" ht="18" hidden="1">
      <c r="B179" s="21" t="s">
        <v>18</v>
      </c>
      <c r="C179" s="40" t="s">
        <v>44</v>
      </c>
      <c r="D179" s="37">
        <v>6985410</v>
      </c>
      <c r="E179" s="37">
        <v>1746723.68</v>
      </c>
      <c r="F179" s="37">
        <v>9729.82</v>
      </c>
      <c r="G179" s="37"/>
      <c r="H179" s="2">
        <f t="shared" si="4"/>
        <v>1756453.5</v>
      </c>
      <c r="I179" s="54">
        <f t="shared" si="7"/>
        <v>25.14460139061272</v>
      </c>
      <c r="J179" s="24"/>
      <c r="K179" s="15"/>
    </row>
    <row r="180" spans="2:11" ht="18" hidden="1">
      <c r="B180" s="21" t="s">
        <v>19</v>
      </c>
      <c r="C180" s="40" t="s">
        <v>45</v>
      </c>
      <c r="D180" s="37">
        <v>1323505</v>
      </c>
      <c r="E180" s="37">
        <v>191157.44</v>
      </c>
      <c r="F180" s="37">
        <v>5279</v>
      </c>
      <c r="G180" s="37"/>
      <c r="H180" s="2">
        <f t="shared" si="4"/>
        <v>196436.44</v>
      </c>
      <c r="I180" s="54">
        <f t="shared" si="7"/>
        <v>14.842138110547372</v>
      </c>
      <c r="J180" s="24"/>
      <c r="K180" s="14"/>
    </row>
    <row r="181" spans="2:11" ht="18" hidden="1">
      <c r="B181" s="21" t="s">
        <v>20</v>
      </c>
      <c r="C181" s="40" t="s">
        <v>46</v>
      </c>
      <c r="D181" s="37">
        <v>417306</v>
      </c>
      <c r="E181" s="37">
        <v>75182.26</v>
      </c>
      <c r="F181" s="37"/>
      <c r="G181" s="37"/>
      <c r="H181" s="2">
        <f t="shared" si="4"/>
        <v>75182.26</v>
      </c>
      <c r="I181" s="54">
        <f t="shared" si="7"/>
        <v>18.016098498463958</v>
      </c>
      <c r="J181" s="24"/>
      <c r="K181" s="14"/>
    </row>
    <row r="182" spans="2:11" ht="18" hidden="1">
      <c r="B182" s="21" t="s">
        <v>21</v>
      </c>
      <c r="C182" s="40" t="s">
        <v>47</v>
      </c>
      <c r="D182" s="37">
        <v>382703</v>
      </c>
      <c r="E182" s="37"/>
      <c r="F182" s="37">
        <v>96021.61</v>
      </c>
      <c r="G182" s="37"/>
      <c r="H182" s="2">
        <f t="shared" si="4"/>
        <v>96021.61</v>
      </c>
      <c r="I182" s="54">
        <f t="shared" si="7"/>
        <v>25.090372952393892</v>
      </c>
      <c r="J182" s="24"/>
      <c r="K182" s="14"/>
    </row>
    <row r="183" spans="2:11" ht="18" hidden="1">
      <c r="B183" s="21" t="s">
        <v>22</v>
      </c>
      <c r="C183" s="40" t="s">
        <v>48</v>
      </c>
      <c r="D183" s="37">
        <v>3916580</v>
      </c>
      <c r="E183" s="37"/>
      <c r="F183" s="37"/>
      <c r="G183" s="37"/>
      <c r="H183" s="2">
        <f t="shared" si="4"/>
        <v>0</v>
      </c>
      <c r="I183" s="54">
        <f t="shared" si="7"/>
        <v>0</v>
      </c>
      <c r="J183" s="24"/>
      <c r="K183" s="14"/>
    </row>
    <row r="184" spans="2:11" s="8" customFormat="1" ht="18" hidden="1">
      <c r="B184" s="19">
        <v>30</v>
      </c>
      <c r="C184" s="78" t="s">
        <v>17</v>
      </c>
      <c r="D184" s="20">
        <f>D185+D186+D187+D188+D189</f>
        <v>6058608</v>
      </c>
      <c r="E184" s="20">
        <f>E185+E186+E187+E188+E189</f>
        <v>985116.3300000001</v>
      </c>
      <c r="F184" s="20">
        <f>F185+F186+F187+F188+F189</f>
        <v>5314.58</v>
      </c>
      <c r="G184" s="20">
        <f>G185+G186+G187+G188+G189</f>
        <v>400</v>
      </c>
      <c r="H184" s="20">
        <f>H185+H186+H187+H188+H189</f>
        <v>990830.91</v>
      </c>
      <c r="I184" s="43">
        <f t="shared" si="7"/>
        <v>16.354101635227103</v>
      </c>
      <c r="J184" s="75" t="s">
        <v>17</v>
      </c>
      <c r="K184" s="14"/>
    </row>
    <row r="185" spans="2:11" ht="18" hidden="1">
      <c r="B185" s="21">
        <v>0</v>
      </c>
      <c r="C185" s="40" t="s">
        <v>44</v>
      </c>
      <c r="D185" s="37">
        <v>3766528</v>
      </c>
      <c r="E185" s="37">
        <v>918622.66</v>
      </c>
      <c r="F185" s="37"/>
      <c r="G185" s="46"/>
      <c r="H185" s="2">
        <f t="shared" si="4"/>
        <v>918622.66</v>
      </c>
      <c r="I185" s="54">
        <f t="shared" si="7"/>
        <v>24.389110076972745</v>
      </c>
      <c r="J185" s="24"/>
      <c r="K185" s="15"/>
    </row>
    <row r="186" spans="2:11" ht="18" hidden="1">
      <c r="B186" s="21" t="s">
        <v>19</v>
      </c>
      <c r="C186" s="40" t="s">
        <v>45</v>
      </c>
      <c r="D186" s="37">
        <v>799754</v>
      </c>
      <c r="E186" s="37">
        <v>34183.75</v>
      </c>
      <c r="F186" s="37">
        <v>4114.58</v>
      </c>
      <c r="G186" s="46">
        <v>400</v>
      </c>
      <c r="H186" s="2">
        <f t="shared" si="4"/>
        <v>38698.33</v>
      </c>
      <c r="I186" s="54">
        <f t="shared" si="7"/>
        <v>4.838779174596189</v>
      </c>
      <c r="J186" s="24"/>
      <c r="K186" s="14"/>
    </row>
    <row r="187" spans="2:11" ht="18" hidden="1">
      <c r="B187" s="21" t="s">
        <v>20</v>
      </c>
      <c r="C187" s="40" t="s">
        <v>46</v>
      </c>
      <c r="D187" s="37">
        <v>245955</v>
      </c>
      <c r="E187" s="37">
        <v>32309.92</v>
      </c>
      <c r="F187" s="37"/>
      <c r="G187" s="46"/>
      <c r="H187" s="2">
        <f t="shared" si="4"/>
        <v>32309.92</v>
      </c>
      <c r="I187" s="54">
        <f t="shared" si="7"/>
        <v>13.136516842511842</v>
      </c>
      <c r="J187" s="24"/>
      <c r="K187" s="15"/>
    </row>
    <row r="188" spans="2:11" ht="18" hidden="1">
      <c r="B188" s="21" t="s">
        <v>21</v>
      </c>
      <c r="C188" s="40" t="s">
        <v>47</v>
      </c>
      <c r="D188" s="37">
        <v>62000</v>
      </c>
      <c r="E188" s="37"/>
      <c r="F188" s="37">
        <v>1200</v>
      </c>
      <c r="G188" s="46"/>
      <c r="H188" s="2">
        <f t="shared" si="4"/>
        <v>1200</v>
      </c>
      <c r="I188" s="54">
        <f t="shared" si="7"/>
        <v>1.935483870967742</v>
      </c>
      <c r="J188" s="24"/>
      <c r="K188" s="14"/>
    </row>
    <row r="189" spans="2:11" ht="18" hidden="1">
      <c r="B189" s="21" t="s">
        <v>22</v>
      </c>
      <c r="C189" s="40" t="s">
        <v>48</v>
      </c>
      <c r="D189" s="37">
        <v>1184371</v>
      </c>
      <c r="E189" s="37"/>
      <c r="F189" s="37"/>
      <c r="G189" s="46"/>
      <c r="H189" s="2">
        <f t="shared" si="4"/>
        <v>0</v>
      </c>
      <c r="I189" s="54">
        <f t="shared" si="7"/>
        <v>0</v>
      </c>
      <c r="J189" s="24"/>
      <c r="K189" s="14"/>
    </row>
    <row r="190" spans="2:11" s="8" customFormat="1" ht="18" hidden="1">
      <c r="B190" s="19">
        <v>31</v>
      </c>
      <c r="C190" s="78" t="s">
        <v>38</v>
      </c>
      <c r="D190" s="20">
        <f>D191+D192+D193+D194+D195</f>
        <v>874276</v>
      </c>
      <c r="E190" s="20">
        <f>E191+E192+E193+E194+E195</f>
        <v>115125.65000000001</v>
      </c>
      <c r="F190" s="20">
        <f>F191+F192+F193+F194+F195</f>
        <v>1400</v>
      </c>
      <c r="G190" s="20">
        <f>G191+G192+G193+G194+G195</f>
        <v>3000</v>
      </c>
      <c r="H190" s="20">
        <f>H191+H192+H193+H194+H195</f>
        <v>119525.65000000001</v>
      </c>
      <c r="I190" s="43">
        <f t="shared" si="7"/>
        <v>13.67138638141731</v>
      </c>
      <c r="J190" s="72" t="s">
        <v>38</v>
      </c>
      <c r="K190" s="15"/>
    </row>
    <row r="191" spans="2:11" ht="18" hidden="1">
      <c r="B191" s="21" t="s">
        <v>18</v>
      </c>
      <c r="C191" s="40" t="s">
        <v>44</v>
      </c>
      <c r="D191" s="37">
        <v>522880</v>
      </c>
      <c r="E191" s="37">
        <v>103545.52</v>
      </c>
      <c r="F191" s="37"/>
      <c r="G191" s="46">
        <v>3000</v>
      </c>
      <c r="H191" s="2">
        <f t="shared" si="4"/>
        <v>106545.52</v>
      </c>
      <c r="I191" s="54">
        <f t="shared" si="7"/>
        <v>20.376667686658507</v>
      </c>
      <c r="J191" s="24"/>
      <c r="K191" s="15"/>
    </row>
    <row r="192" spans="2:11" ht="18" hidden="1">
      <c r="B192" s="21" t="s">
        <v>19</v>
      </c>
      <c r="C192" s="40" t="s">
        <v>45</v>
      </c>
      <c r="D192" s="37">
        <v>145621</v>
      </c>
      <c r="E192" s="37">
        <v>5643.55</v>
      </c>
      <c r="F192" s="37"/>
      <c r="G192" s="46"/>
      <c r="H192" s="2">
        <f t="shared" si="4"/>
        <v>5643.55</v>
      </c>
      <c r="I192" s="54">
        <f t="shared" si="7"/>
        <v>3.875505593286683</v>
      </c>
      <c r="J192" s="24"/>
      <c r="K192" s="14"/>
    </row>
    <row r="193" spans="2:11" ht="18" hidden="1">
      <c r="B193" s="21" t="s">
        <v>20</v>
      </c>
      <c r="C193" s="40" t="s">
        <v>46</v>
      </c>
      <c r="D193" s="37">
        <v>30300</v>
      </c>
      <c r="E193" s="37">
        <v>5936.58</v>
      </c>
      <c r="F193" s="37"/>
      <c r="G193" s="46"/>
      <c r="H193" s="2">
        <f t="shared" si="4"/>
        <v>5936.58</v>
      </c>
      <c r="I193" s="54">
        <f t="shared" si="7"/>
        <v>19.59267326732673</v>
      </c>
      <c r="J193" s="24"/>
      <c r="K193" s="14"/>
    </row>
    <row r="194" spans="2:11" ht="18" hidden="1">
      <c r="B194" s="21" t="s">
        <v>21</v>
      </c>
      <c r="C194" s="40" t="s">
        <v>47</v>
      </c>
      <c r="D194" s="37">
        <f>4000</f>
        <v>4000</v>
      </c>
      <c r="E194" s="37"/>
      <c r="F194" s="37">
        <v>1400</v>
      </c>
      <c r="G194" s="46"/>
      <c r="H194" s="2">
        <f t="shared" si="4"/>
        <v>1400</v>
      </c>
      <c r="I194" s="54">
        <f t="shared" si="7"/>
        <v>35</v>
      </c>
      <c r="J194" s="24"/>
      <c r="K194" s="14"/>
    </row>
    <row r="195" spans="2:11" ht="18" hidden="1">
      <c r="B195" s="21" t="s">
        <v>22</v>
      </c>
      <c r="C195" s="40" t="s">
        <v>48</v>
      </c>
      <c r="D195" s="37">
        <v>171475</v>
      </c>
      <c r="E195" s="37"/>
      <c r="F195" s="37"/>
      <c r="G195" s="46"/>
      <c r="H195" s="2">
        <f t="shared" si="4"/>
        <v>0</v>
      </c>
      <c r="I195" s="54">
        <f t="shared" si="7"/>
        <v>0</v>
      </c>
      <c r="J195" s="24"/>
      <c r="K195" s="14"/>
    </row>
    <row r="196" spans="2:28" s="8" customFormat="1" ht="18" hidden="1">
      <c r="B196" s="19">
        <v>32</v>
      </c>
      <c r="C196" s="78" t="s">
        <v>39</v>
      </c>
      <c r="D196" s="20">
        <f>D197+D198+D199+D200+D201</f>
        <v>723311</v>
      </c>
      <c r="E196" s="20">
        <f>E197+E198+E199+E200+E201</f>
        <v>102877.56999999999</v>
      </c>
      <c r="F196" s="20">
        <f>F197+F198+F199+F200+F201</f>
        <v>0</v>
      </c>
      <c r="G196" s="20">
        <f>G197+G198+G199+G200+G201</f>
        <v>0</v>
      </c>
      <c r="H196" s="20">
        <f>H197+H198+H199+H200+H201</f>
        <v>102877.56999999999</v>
      </c>
      <c r="I196" s="43">
        <f t="shared" si="7"/>
        <v>14.223144677738897</v>
      </c>
      <c r="J196" s="72" t="s">
        <v>39</v>
      </c>
      <c r="K196" s="17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2:11" ht="18" hidden="1">
      <c r="B197" s="21" t="s">
        <v>18</v>
      </c>
      <c r="C197" s="40" t="s">
        <v>44</v>
      </c>
      <c r="D197" s="37">
        <v>404429</v>
      </c>
      <c r="E197" s="23">
        <v>82272.04</v>
      </c>
      <c r="F197" s="23"/>
      <c r="G197" s="31"/>
      <c r="H197" s="2">
        <f t="shared" si="4"/>
        <v>82272.04</v>
      </c>
      <c r="I197" s="54">
        <f t="shared" si="7"/>
        <v>20.342764737444643</v>
      </c>
      <c r="J197" s="24"/>
      <c r="K197" s="15"/>
    </row>
    <row r="198" spans="2:11" ht="18" hidden="1">
      <c r="B198" s="21" t="s">
        <v>19</v>
      </c>
      <c r="C198" s="40" t="s">
        <v>45</v>
      </c>
      <c r="D198" s="37">
        <v>106307</v>
      </c>
      <c r="E198" s="23">
        <v>18947.87</v>
      </c>
      <c r="F198" s="23"/>
      <c r="G198" s="31"/>
      <c r="H198" s="2">
        <f t="shared" si="4"/>
        <v>18947.87</v>
      </c>
      <c r="I198" s="54">
        <f t="shared" si="7"/>
        <v>17.823727506184916</v>
      </c>
      <c r="J198" s="24"/>
      <c r="K198" s="14"/>
    </row>
    <row r="199" spans="2:11" ht="18" hidden="1">
      <c r="B199" s="21" t="s">
        <v>20</v>
      </c>
      <c r="C199" s="40" t="s">
        <v>46</v>
      </c>
      <c r="D199" s="37">
        <v>26200</v>
      </c>
      <c r="E199" s="23">
        <v>1657.66</v>
      </c>
      <c r="F199" s="23"/>
      <c r="G199" s="31"/>
      <c r="H199" s="2">
        <f t="shared" si="4"/>
        <v>1657.66</v>
      </c>
      <c r="I199" s="54">
        <f t="shared" si="7"/>
        <v>6.326946564885497</v>
      </c>
      <c r="J199" s="24"/>
      <c r="K199" s="14"/>
    </row>
    <row r="200" spans="2:11" ht="18" hidden="1">
      <c r="B200" s="21" t="s">
        <v>21</v>
      </c>
      <c r="C200" s="40" t="s">
        <v>47</v>
      </c>
      <c r="D200" s="37">
        <f>0</f>
        <v>0</v>
      </c>
      <c r="E200" s="23"/>
      <c r="F200" s="23"/>
      <c r="G200" s="31"/>
      <c r="H200" s="2">
        <f t="shared" si="4"/>
        <v>0</v>
      </c>
      <c r="I200" s="54">
        <v>0</v>
      </c>
      <c r="J200" s="24"/>
      <c r="K200" s="14"/>
    </row>
    <row r="201" spans="2:11" ht="18" hidden="1">
      <c r="B201" s="21" t="s">
        <v>22</v>
      </c>
      <c r="C201" s="40" t="s">
        <v>48</v>
      </c>
      <c r="D201" s="37">
        <v>186375</v>
      </c>
      <c r="E201" s="23"/>
      <c r="F201" s="23"/>
      <c r="G201" s="31"/>
      <c r="H201" s="2">
        <f t="shared" si="4"/>
        <v>0</v>
      </c>
      <c r="I201" s="54">
        <f>H201/D201*100</f>
        <v>0</v>
      </c>
      <c r="J201" s="24"/>
      <c r="K201" s="14"/>
    </row>
    <row r="202" spans="2:11" s="8" customFormat="1" ht="18" hidden="1">
      <c r="B202" s="19">
        <v>33</v>
      </c>
      <c r="C202" s="78" t="s">
        <v>40</v>
      </c>
      <c r="D202" s="20">
        <f>D203+D204+D205+D206+D207</f>
        <v>1153143</v>
      </c>
      <c r="E202" s="25">
        <f>E203+E204+E205+E206+E207</f>
        <v>168447.94</v>
      </c>
      <c r="F202" s="25">
        <f>F203+F204+F205+F206+F207</f>
        <v>0</v>
      </c>
      <c r="G202" s="25">
        <f>G203+G204+G205+G206+G207</f>
        <v>0</v>
      </c>
      <c r="H202" s="25">
        <f>H203+H204+H205+H206+H207</f>
        <v>168447.94</v>
      </c>
      <c r="I202" s="43">
        <f>H202/D202*100</f>
        <v>14.60772341331474</v>
      </c>
      <c r="J202" s="72" t="s">
        <v>40</v>
      </c>
      <c r="K202" s="14"/>
    </row>
    <row r="203" spans="2:11" ht="18" hidden="1">
      <c r="B203" s="21" t="s">
        <v>18</v>
      </c>
      <c r="C203" s="40" t="s">
        <v>44</v>
      </c>
      <c r="D203" s="37">
        <v>672515</v>
      </c>
      <c r="E203" s="37">
        <v>143449.32</v>
      </c>
      <c r="F203" s="37"/>
      <c r="G203" s="46"/>
      <c r="H203" s="2">
        <f aca="true" t="shared" si="8" ref="H203:H208">E203+F203+G203</f>
        <v>143449.32</v>
      </c>
      <c r="I203" s="54">
        <f aca="true" t="shared" si="9" ref="I203:I215">H203/D203*100</f>
        <v>21.330278135060183</v>
      </c>
      <c r="J203" s="24"/>
      <c r="K203" s="14"/>
    </row>
    <row r="204" spans="2:12" ht="18" hidden="1">
      <c r="B204" s="21" t="s">
        <v>19</v>
      </c>
      <c r="C204" s="40" t="s">
        <v>45</v>
      </c>
      <c r="D204" s="37">
        <v>139090</v>
      </c>
      <c r="E204" s="37">
        <v>12773.79</v>
      </c>
      <c r="F204" s="37"/>
      <c r="G204" s="46"/>
      <c r="H204" s="2">
        <f t="shared" si="8"/>
        <v>12773.79</v>
      </c>
      <c r="I204" s="54">
        <f t="shared" si="9"/>
        <v>9.183830613271983</v>
      </c>
      <c r="J204" s="24"/>
      <c r="K204" s="15"/>
      <c r="L204" s="5"/>
    </row>
    <row r="205" spans="2:11" ht="18" hidden="1">
      <c r="B205" s="21" t="s">
        <v>20</v>
      </c>
      <c r="C205" s="40" t="s">
        <v>46</v>
      </c>
      <c r="D205" s="37">
        <v>28000</v>
      </c>
      <c r="E205" s="37">
        <v>5624.83</v>
      </c>
      <c r="F205" s="37"/>
      <c r="G205" s="46"/>
      <c r="H205" s="2">
        <f t="shared" si="8"/>
        <v>5624.83</v>
      </c>
      <c r="I205" s="54">
        <f t="shared" si="9"/>
        <v>20.08867857142857</v>
      </c>
      <c r="J205" s="24"/>
      <c r="K205" s="14" t="s">
        <v>43</v>
      </c>
    </row>
    <row r="206" spans="2:11" ht="18" hidden="1">
      <c r="B206" s="21" t="s">
        <v>21</v>
      </c>
      <c r="C206" s="40" t="s">
        <v>47</v>
      </c>
      <c r="D206" s="37">
        <f>8000</f>
        <v>8000</v>
      </c>
      <c r="E206" s="45">
        <v>6600</v>
      </c>
      <c r="F206" s="37"/>
      <c r="G206" s="46"/>
      <c r="H206" s="2">
        <f t="shared" si="8"/>
        <v>6600</v>
      </c>
      <c r="I206" s="54">
        <f t="shared" si="9"/>
        <v>82.5</v>
      </c>
      <c r="J206" s="24"/>
      <c r="K206" s="14"/>
    </row>
    <row r="207" spans="2:11" ht="18" hidden="1">
      <c r="B207" s="21" t="s">
        <v>22</v>
      </c>
      <c r="C207" s="40" t="s">
        <v>48</v>
      </c>
      <c r="D207" s="37">
        <v>305538</v>
      </c>
      <c r="E207" s="37"/>
      <c r="F207" s="37"/>
      <c r="G207" s="46"/>
      <c r="H207" s="2">
        <f t="shared" si="8"/>
        <v>0</v>
      </c>
      <c r="I207" s="54">
        <f t="shared" si="9"/>
        <v>0</v>
      </c>
      <c r="J207" s="24"/>
      <c r="K207" s="14"/>
    </row>
    <row r="208" spans="2:11" ht="18" hidden="1">
      <c r="B208" s="32"/>
      <c r="C208" s="41"/>
      <c r="D208" s="2"/>
      <c r="E208" s="6"/>
      <c r="F208" s="2"/>
      <c r="G208" s="2"/>
      <c r="H208" s="2">
        <f t="shared" si="8"/>
        <v>0</v>
      </c>
      <c r="I208" s="54">
        <v>0</v>
      </c>
      <c r="J208" s="27"/>
      <c r="K208" s="14"/>
    </row>
    <row r="209" spans="2:13" s="10" customFormat="1" ht="18" hidden="1">
      <c r="B209" s="33"/>
      <c r="C209" s="34" t="s">
        <v>37</v>
      </c>
      <c r="D209" s="20">
        <f>D210+D211+D212+D213+D214</f>
        <v>243400001</v>
      </c>
      <c r="E209" s="20">
        <f>E210+E211+E212+E213+E214</f>
        <v>37247682.22000001</v>
      </c>
      <c r="F209" s="20">
        <f>F210+F211+F212+F213+F214</f>
        <v>1239046.52</v>
      </c>
      <c r="G209" s="20">
        <f>G210+G211+G212+G213+G214</f>
        <v>1080876.52</v>
      </c>
      <c r="H209" s="20">
        <f>H210+H211+H212+H213+H214</f>
        <v>39567605.26000001</v>
      </c>
      <c r="I209" s="43">
        <f t="shared" si="9"/>
        <v>16.256205874050103</v>
      </c>
      <c r="J209" s="27"/>
      <c r="K209" s="15"/>
      <c r="L209" s="9"/>
      <c r="M209" s="9"/>
    </row>
    <row r="210" spans="2:12" ht="18">
      <c r="B210" s="26" t="s">
        <v>18</v>
      </c>
      <c r="C210" s="40" t="s">
        <v>70</v>
      </c>
      <c r="D210" s="37">
        <f>D11+D17+D23+D29+D35+D41+D47+D53+D59+D65+D71+D77+D83+D89+D95+D101+D107+D113+D119+D125+D131+D137+D143+D149+D155+D161+D167+D173+D179+D185+D191+D197+D203</f>
        <v>126080232</v>
      </c>
      <c r="E210" s="3">
        <f aca="true" t="shared" si="10" ref="E210:F214">E11+E17+E23+E29+E35+E41+E47+E53+E59+E65+E71+E77+E83+E89+E95+E101+E107+E113+E119+E125+E131+E137+E143+E149+E155+E161+E167+E173+E179+E185+E191+E197+E203</f>
        <v>31121380.83000001</v>
      </c>
      <c r="F210" s="3">
        <f t="shared" si="10"/>
        <v>80640.28</v>
      </c>
      <c r="G210" s="3">
        <f>G11+G17+G23+G29+G35+G41+G47+G53+G59+G65+G71+G77+G83+G89+G95+G101+G107+G113+G119+G125+G131+G137+G143+G149+G155+G161+G167+G179+G185+G191+G197+G203</f>
        <v>3000</v>
      </c>
      <c r="H210" s="2">
        <f>E210+F210+G210</f>
        <v>31205021.11000001</v>
      </c>
      <c r="I210" s="54">
        <v>98</v>
      </c>
      <c r="J210" s="27"/>
      <c r="K210" s="15"/>
      <c r="L210" s="5"/>
    </row>
    <row r="211" spans="2:11" ht="18">
      <c r="B211" s="26" t="s">
        <v>19</v>
      </c>
      <c r="C211" s="40" t="s">
        <v>71</v>
      </c>
      <c r="D211" s="37">
        <f>D12+D18+D24+D30+D36+D42+D48+D54+D60+D66+D72+D78+D84+D90+D96+D102+D108+D114+D120+D126+D132+D138+D144+D150+D156+D162+D168+D174+D180+D186+D192+D198+D204</f>
        <v>24336593</v>
      </c>
      <c r="E211" s="37">
        <f t="shared" si="10"/>
        <v>3120867.11</v>
      </c>
      <c r="F211" s="37">
        <f t="shared" si="10"/>
        <v>273866.85</v>
      </c>
      <c r="G211" s="37">
        <f>G12+G18+G24+G30+G36+G42+G48+G54+G60+G66+G72+G78+G84+G90+G96+G102+G108+G114+G120+G126+G132+G138+G144+G150+G156+G162+G168+G174+G180+G186+G192+G198+G204</f>
        <v>273250.98</v>
      </c>
      <c r="H211" s="2">
        <f>E211+F211+G211</f>
        <v>3667984.94</v>
      </c>
      <c r="I211" s="54">
        <v>93</v>
      </c>
      <c r="J211" s="27"/>
      <c r="K211" s="15"/>
    </row>
    <row r="212" spans="2:12" ht="18">
      <c r="B212" s="26" t="s">
        <v>20</v>
      </c>
      <c r="C212" s="40" t="s">
        <v>72</v>
      </c>
      <c r="D212" s="37">
        <f>D13+D19+D25+D31+D37+D43+D49+D55+D61+D67+D73+D79+D85+D91+D97+D103+D109+D115+D121+D127+D133+D139+D145+D151+D157+D163+D169+D175+D181+D187+D193+D199+D205</f>
        <v>8621360</v>
      </c>
      <c r="E212" s="37">
        <f t="shared" si="10"/>
        <v>1639056.6500000001</v>
      </c>
      <c r="F212" s="37">
        <f t="shared" si="10"/>
        <v>1842.07</v>
      </c>
      <c r="G212" s="37">
        <f>G13+G19+G25+G31+G37+G43+G49+G55+G61+G67+G73+G79+G85+G91+G97+G103+G109+G115+G121+G127+G133+G139+G145+G151+G157+G163+G169+G175+G181+G187+G193+G199+G205</f>
        <v>1714.2199999999998</v>
      </c>
      <c r="H212" s="2">
        <f>E212+F212+G212</f>
        <v>1642612.9400000002</v>
      </c>
      <c r="I212" s="54">
        <v>96</v>
      </c>
      <c r="J212" s="27"/>
      <c r="K212" s="15"/>
      <c r="L212" s="5"/>
    </row>
    <row r="213" spans="2:11" ht="18">
      <c r="B213" s="26" t="s">
        <v>21</v>
      </c>
      <c r="C213" s="40" t="s">
        <v>113</v>
      </c>
      <c r="D213" s="37">
        <f>D14+D20+D26+D32+D38+D44+D50+D56+D62+D68+D74+D80+D86+D92+D98+D104+D110+D116+D122+D128+D134+D140+D146+D152+D158+D164+D170+D176+D182+D188+D194+D200+D206</f>
        <v>3091985</v>
      </c>
      <c r="E213" s="37">
        <f t="shared" si="10"/>
        <v>30752</v>
      </c>
      <c r="F213" s="37">
        <f t="shared" si="10"/>
        <v>558421.79</v>
      </c>
      <c r="G213" s="37">
        <f>G14+G20+G26+G32+G38+G44+G50+G56+G62+G68+G74+G80+G86+G92+G98+G104+G110+G116+G122+G128+G134+G140+G146+G152+G158+G164+G170+G176+G182+G188+G194+G200+G206</f>
        <v>61549.05</v>
      </c>
      <c r="H213" s="76">
        <f>H14+H20+H26+H32+H38+H44+H50+H56+H62+H68+H74+H80+H86+H92+H98+H104+H110+H116+H122+H128+H134+H140+H146+H152+H158+H164+H170+H176+H182+H188+H194+H200+H206</f>
        <v>650722.84</v>
      </c>
      <c r="I213" s="54">
        <v>96</v>
      </c>
      <c r="J213" s="27"/>
      <c r="K213" s="15"/>
    </row>
    <row r="214" spans="2:11" ht="18.75" thickBot="1">
      <c r="B214" s="35" t="s">
        <v>22</v>
      </c>
      <c r="C214" s="80" t="s">
        <v>74</v>
      </c>
      <c r="D214" s="37">
        <f>D15+D21+D27+D33+D39+D45+D51+D57+D63+D69+D75+D81+D87+D93+D99+D105+D111+D117+D123+D129+D135+D141+D147+D153+D159+D165+D171+D177+D183+D189+D195+D201+D207</f>
        <v>81269831</v>
      </c>
      <c r="E214" s="37">
        <f t="shared" si="10"/>
        <v>1335625.63</v>
      </c>
      <c r="F214" s="37">
        <f t="shared" si="10"/>
        <v>324275.53</v>
      </c>
      <c r="G214" s="37">
        <f>G15+G21+G27+G33+G39+G45+G51+G57+G63+G69+G75+G81+G87+G93+G99+G105+G111+G117+G123+G129+G135+G141+G147+G153+G159+G165+G171+G177+G183+G189+G195+G201+G207</f>
        <v>741362.27</v>
      </c>
      <c r="H214" s="76">
        <f>H15+H21+H27+H33+H39+H45+H51+H57+H63+H69+H75+H81+H87+H93+H99+H105+H111+H117+H123+H129+H135+H141+H147+H153+H159+H165+H171+H177+H183+H189+H195+H201+H207</f>
        <v>2401263.43</v>
      </c>
      <c r="I214" s="54">
        <v>80</v>
      </c>
      <c r="J214" s="36"/>
      <c r="K214" s="15"/>
    </row>
    <row r="215" spans="4:11" ht="18" hidden="1">
      <c r="D215" s="49">
        <f>D216+D217+D218+D219+D220</f>
        <v>243400001</v>
      </c>
      <c r="E215" s="49">
        <f>E216+E217+E218+E219+E220</f>
        <v>37247682.22000001</v>
      </c>
      <c r="F215" s="49">
        <f>F216+F217+F218+F219+F220</f>
        <v>1239046.52</v>
      </c>
      <c r="G215" s="49">
        <f>G216+G217+G218+G219+G220</f>
        <v>1080876.52</v>
      </c>
      <c r="H215" s="49">
        <f>H216+H217+H218+H219+H220</f>
        <v>39567605.26000001</v>
      </c>
      <c r="I215" s="15">
        <f t="shared" si="9"/>
        <v>16.256205874050103</v>
      </c>
      <c r="J215" s="14"/>
      <c r="K215" s="15"/>
    </row>
    <row r="216" spans="3:11" ht="18" hidden="1">
      <c r="C216" s="40" t="s">
        <v>44</v>
      </c>
      <c r="D216" s="49">
        <f>D11+D17+D23+D29+D35+D41+D47+D53+D59+D65+D71+D77+D83+D89+D95+D101+D107+D113+D119+D125+D131+D137+D143+D149+D155+D161+D167+D173+D179+D185+D191++D197+D203</f>
        <v>126080232</v>
      </c>
      <c r="E216" s="49">
        <f>E11+E17+E23+E29+E35+E41+E47+E53+E59+E65+E71+E77+E83+E89+E95+E101+E107+E113+E119+E125+E131+E137+E143+E149+E155+E161+E167+E173+E179+E185+E191++E197+E203</f>
        <v>31121380.83000001</v>
      </c>
      <c r="F216" s="49">
        <f>F11+F17+F23+F29+F35+F41+F47+F53+F59+F65+F71+F77+F83+F89+F95+F101+F107+F113+F119+F125+F131+F137+F143+F149+F155+F161+F167+F173+F179+F185+F191++F197+F203</f>
        <v>80640.28</v>
      </c>
      <c r="G216" s="49">
        <f>G11+G17+G23+G29+G35+G41+G47+G53+G59+G65+G71+G77+G83+G89+G95+G101+G107+G113+G119+G125+G131+G137+G143+G149+G155+G161+G167+G173+G179+G185+G191++G197+G203</f>
        <v>3000</v>
      </c>
      <c r="H216" s="49">
        <f>H11+H17+H23+H29+H35+H41+H47+H53+H59+H65+H71+H77+H83+H89+H95+H101+H107+H113+H119+H125+H131+H137+H143+H149+H155+H161+H167+H173+H179+H185+H191++H197+H203</f>
        <v>31205021.11000001</v>
      </c>
      <c r="I216" s="15"/>
      <c r="J216" s="14"/>
      <c r="K216" s="15"/>
    </row>
    <row r="217" spans="3:11" ht="18" hidden="1">
      <c r="C217" s="40" t="s">
        <v>45</v>
      </c>
      <c r="D217" s="49">
        <f aca="true" t="shared" si="11" ref="D217:H220">D12+D18+D24+D30+D36+D42+D48+D54+D60+D66+D72+D78+D84+D90+D96+D102+D108+D114+D120+D126+D132+D138+D144+D150+D156+D162+D168+D174+D180+D186+D192+D198+D204</f>
        <v>24336593</v>
      </c>
      <c r="E217" s="49">
        <f t="shared" si="11"/>
        <v>3120867.11</v>
      </c>
      <c r="F217" s="49">
        <f t="shared" si="11"/>
        <v>273866.85</v>
      </c>
      <c r="G217" s="49">
        <f t="shared" si="11"/>
        <v>273250.98</v>
      </c>
      <c r="H217" s="49">
        <f t="shared" si="11"/>
        <v>3667984.94</v>
      </c>
      <c r="I217" s="15"/>
      <c r="J217" s="14"/>
      <c r="K217" s="15"/>
    </row>
    <row r="218" spans="3:11" ht="18" hidden="1">
      <c r="C218" s="40" t="s">
        <v>46</v>
      </c>
      <c r="D218" s="49">
        <f t="shared" si="11"/>
        <v>8621360</v>
      </c>
      <c r="E218" s="49">
        <f t="shared" si="11"/>
        <v>1639056.6500000001</v>
      </c>
      <c r="F218" s="49">
        <f t="shared" si="11"/>
        <v>1842.07</v>
      </c>
      <c r="G218" s="49">
        <f t="shared" si="11"/>
        <v>1714.2199999999998</v>
      </c>
      <c r="H218" s="49">
        <f t="shared" si="11"/>
        <v>1642612.9400000002</v>
      </c>
      <c r="I218" s="15"/>
      <c r="J218" s="14"/>
      <c r="K218" s="15"/>
    </row>
    <row r="219" spans="3:11" ht="18" hidden="1">
      <c r="C219" s="40" t="s">
        <v>47</v>
      </c>
      <c r="D219" s="49">
        <f t="shared" si="11"/>
        <v>3091985</v>
      </c>
      <c r="E219" s="49">
        <f t="shared" si="11"/>
        <v>30752</v>
      </c>
      <c r="F219" s="49">
        <f t="shared" si="11"/>
        <v>558421.79</v>
      </c>
      <c r="G219" s="49">
        <f t="shared" si="11"/>
        <v>61549.05</v>
      </c>
      <c r="H219" s="49">
        <f t="shared" si="11"/>
        <v>650722.84</v>
      </c>
      <c r="I219" s="15"/>
      <c r="J219" s="14"/>
      <c r="K219" s="15"/>
    </row>
    <row r="220" spans="3:11" ht="18" hidden="1">
      <c r="C220" s="40" t="s">
        <v>48</v>
      </c>
      <c r="D220" s="49">
        <f t="shared" si="11"/>
        <v>81269831</v>
      </c>
      <c r="E220" s="49">
        <f t="shared" si="11"/>
        <v>1335625.63</v>
      </c>
      <c r="F220" s="49">
        <f t="shared" si="11"/>
        <v>324275.53</v>
      </c>
      <c r="G220" s="49">
        <f t="shared" si="11"/>
        <v>741362.27</v>
      </c>
      <c r="H220" s="49">
        <f t="shared" si="11"/>
        <v>2401263.43</v>
      </c>
      <c r="I220" s="15"/>
      <c r="J220" s="14"/>
      <c r="K220" s="15"/>
    </row>
    <row r="221" spans="4:11" ht="18">
      <c r="D221" s="49"/>
      <c r="E221" s="5"/>
      <c r="F221" s="49"/>
      <c r="G221" s="49"/>
      <c r="H221" s="15"/>
      <c r="I221" s="15"/>
      <c r="J221" s="14"/>
      <c r="K221" s="15"/>
    </row>
    <row r="222" spans="4:11" ht="18">
      <c r="D222" s="49"/>
      <c r="E222" s="5"/>
      <c r="H222" s="15"/>
      <c r="I222" s="15"/>
      <c r="J222" s="14"/>
      <c r="K222" s="15"/>
    </row>
    <row r="223" spans="5:11" ht="18">
      <c r="E223" s="5"/>
      <c r="H223" s="15"/>
      <c r="I223" s="15"/>
      <c r="J223" s="14"/>
      <c r="K223" s="15"/>
    </row>
    <row r="224" spans="4:11" ht="18">
      <c r="D224" s="49"/>
      <c r="E224" s="5"/>
      <c r="H224" s="15"/>
      <c r="I224" s="15"/>
      <c r="J224" s="14"/>
      <c r="K224" s="15"/>
    </row>
    <row r="225" spans="5:11" ht="18">
      <c r="E225" s="5"/>
      <c r="H225" s="15"/>
      <c r="I225" s="15"/>
      <c r="J225" s="14"/>
      <c r="K225" s="15"/>
    </row>
    <row r="226" spans="3:11" ht="27" customHeight="1">
      <c r="C226" s="52"/>
      <c r="D226" s="52"/>
      <c r="E226" s="53"/>
      <c r="F226" s="5"/>
      <c r="G226" s="39"/>
      <c r="H226" s="18"/>
      <c r="I226" s="18"/>
      <c r="J226" s="77"/>
      <c r="K226" s="14"/>
    </row>
    <row r="227" spans="3:8" ht="12.75">
      <c r="C227" s="7"/>
      <c r="D227" s="7"/>
      <c r="H227" s="5"/>
    </row>
    <row r="228" ht="12.75">
      <c r="E228" s="5"/>
    </row>
    <row r="229" spans="5:8" ht="12.75">
      <c r="E229" s="5"/>
      <c r="G229" s="5"/>
      <c r="H229" s="5"/>
    </row>
    <row r="230" ht="12.75">
      <c r="E230" s="5"/>
    </row>
    <row r="231" ht="12.75">
      <c r="E231" s="5"/>
    </row>
    <row r="232" ht="12.75">
      <c r="E232" s="5"/>
    </row>
    <row r="234" ht="12.75">
      <c r="E234" s="5"/>
    </row>
  </sheetData>
  <sheetProtection/>
  <mergeCells count="10">
    <mergeCell ref="C1:E1"/>
    <mergeCell ref="C2:E2"/>
    <mergeCell ref="B5:J5"/>
    <mergeCell ref="B6:B7"/>
    <mergeCell ref="C6:C7"/>
    <mergeCell ref="D6:D7"/>
    <mergeCell ref="E6:G6"/>
    <mergeCell ref="H6:H7"/>
    <mergeCell ref="I6:I7"/>
    <mergeCell ref="J6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mapl</dc:creator>
  <cp:keywords/>
  <dc:description/>
  <cp:lastModifiedBy>ilija.savic</cp:lastModifiedBy>
  <cp:lastPrinted>2011-02-18T12:30:04Z</cp:lastPrinted>
  <dcterms:created xsi:type="dcterms:W3CDTF">2006-10-17T08:56:28Z</dcterms:created>
  <dcterms:modified xsi:type="dcterms:W3CDTF">2018-04-13T12:39:30Z</dcterms:modified>
  <cp:category/>
  <cp:version/>
  <cp:contentType/>
  <cp:contentStatus/>
</cp:coreProperties>
</file>